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60" windowHeight="5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'Sheet1'!$A$103:$L$118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'Sheet1'!$O$30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0.5</definedName>
  </definedNames>
  <calcPr fullCalcOnLoad="1"/>
</workbook>
</file>

<file path=xl/comments1.xml><?xml version="1.0" encoding="utf-8"?>
<comments xmlns="http://schemas.openxmlformats.org/spreadsheetml/2006/main">
  <authors>
    <author>Gordon Taylor</author>
  </authors>
  <commentList>
    <comment ref="M8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Based on an annual energy calculation</t>
        </r>
      </text>
    </comment>
    <comment ref="N8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Based on an annual energy calculation</t>
        </r>
      </text>
    </comment>
    <comment ref="M57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The value of 0.06 comes from the paper by Haselbacher &amp; Frutschi</t>
        </r>
      </text>
    </comment>
  </commentList>
</comments>
</file>

<file path=xl/sharedStrings.xml><?xml version="1.0" encoding="utf-8"?>
<sst xmlns="http://schemas.openxmlformats.org/spreadsheetml/2006/main" count="268" uniqueCount="138">
  <si>
    <t>Top Temperature</t>
  </si>
  <si>
    <t>T1 - C</t>
  </si>
  <si>
    <t>T1 - K</t>
  </si>
  <si>
    <t>T2 - C</t>
  </si>
  <si>
    <t>T2 - K</t>
  </si>
  <si>
    <t>Carnot Factor</t>
  </si>
  <si>
    <t>Heat Pump Cycle</t>
  </si>
  <si>
    <t>Tmin - C</t>
  </si>
  <si>
    <t>Tmin - K</t>
  </si>
  <si>
    <t>Tmax - C</t>
  </si>
  <si>
    <t>Tmax - K</t>
  </si>
  <si>
    <t>Heating Flow Temperature</t>
  </si>
  <si>
    <t>Heating Return Temperature</t>
  </si>
  <si>
    <t>Carnot COP Heating</t>
  </si>
  <si>
    <t>Micro-CHP</t>
  </si>
  <si>
    <t>Heat-Only Boiler</t>
  </si>
  <si>
    <t>Boilers Displaced</t>
  </si>
  <si>
    <t>Heat Distribution Efficiency</t>
  </si>
  <si>
    <t>Power Cycle</t>
  </si>
  <si>
    <t>DH-CHP</t>
  </si>
  <si>
    <t>mtoe</t>
  </si>
  <si>
    <t>TWh</t>
  </si>
  <si>
    <t>Fraction</t>
  </si>
  <si>
    <t>MtC</t>
  </si>
  <si>
    <t>Sunpower</t>
  </si>
  <si>
    <t>Frutschi</t>
  </si>
  <si>
    <t>Ratio</t>
  </si>
  <si>
    <t>Cogenerated Heat M</t>
  </si>
  <si>
    <t>Cogenerated Electricity M</t>
  </si>
  <si>
    <t>Electricity Distribution Efficiency M</t>
  </si>
  <si>
    <t>Electricity Distribution Efficiency B</t>
  </si>
  <si>
    <t>Matching Electricity B</t>
  </si>
  <si>
    <t>Gas for Matching Electricity B</t>
  </si>
  <si>
    <t>gC/kwh gas</t>
  </si>
  <si>
    <t>Elec Effy</t>
  </si>
  <si>
    <t>C Saving</t>
  </si>
  <si>
    <t>MtC/y</t>
  </si>
  <si>
    <t>gC/kwh el</t>
  </si>
  <si>
    <t>Specific Carbon Emissions for Gas</t>
  </si>
  <si>
    <t>Specific Carbon Emissions for Mix Elec B</t>
  </si>
  <si>
    <t>Best</t>
  </si>
  <si>
    <t>Boiler</t>
  </si>
  <si>
    <t>Carbon Emissions for Gas Heat &amp; Elec. B</t>
  </si>
  <si>
    <t>Nat. Gas</t>
  </si>
  <si>
    <t>Fuel Cell</t>
  </si>
  <si>
    <t>Hydrogen</t>
  </si>
  <si>
    <t>Hydrogen Production Efficiency</t>
  </si>
  <si>
    <t>Carbon Emissions for Gas Heat &amp; Elec. M</t>
  </si>
  <si>
    <t>Carbon Emissions, Gas Heat &amp; Mix Elec B</t>
  </si>
  <si>
    <t>Hot Water</t>
  </si>
  <si>
    <t>Heat to Electricity Power Ratio - 1/alpha</t>
  </si>
  <si>
    <t>Electricity to Heat Power Ratio - alpha</t>
  </si>
  <si>
    <t>Current</t>
  </si>
  <si>
    <t>v Gas Elec.</t>
  </si>
  <si>
    <t>v Mix Elec.</t>
  </si>
  <si>
    <t>gC/kWh heat</t>
  </si>
  <si>
    <t>Bottom Temperature - Cond.</t>
  </si>
  <si>
    <t>Carnot Efficiency - Cond.</t>
  </si>
  <si>
    <t>Carnot Factor - Cond.</t>
  </si>
  <si>
    <t>Bottom Temperature - BP</t>
  </si>
  <si>
    <t>Carnot Efficiency - BP</t>
  </si>
  <si>
    <t>Carnot Factor - BP</t>
  </si>
  <si>
    <t>COP Heating (delta power basis)</t>
  </si>
  <si>
    <t>Electricity Generation Efficiency</t>
  </si>
  <si>
    <t>Author</t>
  </si>
  <si>
    <t>Reference</t>
  </si>
  <si>
    <t>CHP Unit Type</t>
  </si>
  <si>
    <t>ABB Rev. 5/96</t>
  </si>
  <si>
    <t>GTCC</t>
  </si>
  <si>
    <t>Haselbacher &amp; Frutschi</t>
  </si>
  <si>
    <t>ASME 1997</t>
  </si>
  <si>
    <t>Electricity Output - Cond.</t>
  </si>
  <si>
    <t>Heat Output</t>
  </si>
  <si>
    <t>MWth</t>
  </si>
  <si>
    <t>Electricity Output - BP</t>
  </si>
  <si>
    <t>MWe</t>
  </si>
  <si>
    <t>Thermal Efficiency - Cond. - NCV</t>
  </si>
  <si>
    <t>Electricity Efficiency - Cond - NCV</t>
  </si>
  <si>
    <t>Thermal Efficiency - BP - NCV</t>
  </si>
  <si>
    <t>Electricity Efficiency - BP - NCV</t>
  </si>
  <si>
    <t>Delta Electricity Efficiency - NCV</t>
  </si>
  <si>
    <t>Thermo. heat effy (delta power basis) - GCV</t>
  </si>
  <si>
    <t>Boiler Efficiency - GCV</t>
  </si>
  <si>
    <t>Average Heat Efficiency - GCV</t>
  </si>
  <si>
    <t>Electricity Efficiency - BP - GCV</t>
  </si>
  <si>
    <t>Heat Efficiency - BP - GCV</t>
  </si>
  <si>
    <t>Gas Engine</t>
  </si>
  <si>
    <t>Heat Efficiency - BP - NCV</t>
  </si>
  <si>
    <t>Plant Name</t>
  </si>
  <si>
    <t>Avedore I</t>
  </si>
  <si>
    <t>Avedore II</t>
  </si>
  <si>
    <t>ST</t>
  </si>
  <si>
    <t>denmark.pdf'</t>
  </si>
  <si>
    <t>COP Heating (cycle basis)</t>
  </si>
  <si>
    <t>Thermo. heat effy (delta power basis) - NCV</t>
  </si>
  <si>
    <t>Thermo. heat effy (cycle basis) - GCV</t>
  </si>
  <si>
    <t>Thermo. heat effy (cycle basis) - NCV</t>
  </si>
  <si>
    <t>Manczyk</t>
  </si>
  <si>
    <t>ABB GT24</t>
  </si>
  <si>
    <t>Energy Carrier</t>
  </si>
  <si>
    <t>Domestic Heating by Gas 2001 B</t>
  </si>
  <si>
    <t>Gas for Heat &amp; Cogenerated Elec M</t>
  </si>
  <si>
    <t>Heat + Electricity Effy. - BP - NCV</t>
  </si>
  <si>
    <t>Heat + Electricity Effy. - BP - GCV</t>
  </si>
  <si>
    <t>C Svg. Gas</t>
  </si>
  <si>
    <t>gC/kWh th</t>
  </si>
  <si>
    <t>CHP-GTCC</t>
  </si>
  <si>
    <t>Heating by</t>
  </si>
  <si>
    <t>%</t>
  </si>
  <si>
    <t>TWh/y</t>
  </si>
  <si>
    <t>C Svg. Mix</t>
  </si>
  <si>
    <t>gC/kWh ht</t>
  </si>
  <si>
    <t>Heat Only Boiler Energy Fraction</t>
  </si>
  <si>
    <t>Heat Only Boiler Heat</t>
  </si>
  <si>
    <t>Gas for Heat Only Boiler</t>
  </si>
  <si>
    <t>Domestic Heat (useful) Net</t>
  </si>
  <si>
    <t>Domestic Heat Useful Gross</t>
  </si>
  <si>
    <t>Gas to Electricity Generation Efficiency B - GCV</t>
  </si>
  <si>
    <t>Net Gas for Heat M</t>
  </si>
  <si>
    <t>Gas Saving for Heat B - M</t>
  </si>
  <si>
    <t>Carbon Savings v Gas Heat and Elec B</t>
  </si>
  <si>
    <t>Sp. Carbon Savings v Gas Heat and Elec B</t>
  </si>
  <si>
    <t>Carbon Savings v Gas Heat &amp; Mix Elec B</t>
  </si>
  <si>
    <t>Sp. Carbon Savings v Gas Heat &amp; Mix Elec B</t>
  </si>
  <si>
    <t>CHP Unit</t>
  </si>
  <si>
    <t>Electricity Only Plant</t>
  </si>
  <si>
    <t>Savings v Gas</t>
  </si>
  <si>
    <t>Savings v Gas &amp; Mix</t>
  </si>
  <si>
    <t>Gas for HOB &amp; CHP M</t>
  </si>
  <si>
    <t>Gross Gas for HOB &amp; CHP M</t>
  </si>
  <si>
    <t>Carbon Emissions for Gas Boilers</t>
  </si>
  <si>
    <t>Carbon Savings v Gas Heat and Electricity</t>
  </si>
  <si>
    <t>Specific Carbon Savings v Gas Heat and Electricity</t>
  </si>
  <si>
    <t>Carbon Savings v Gas Heat &amp; Mix Electricity</t>
  </si>
  <si>
    <t>Specific Carbon Savings v Gas Heat &amp; Mix Electricity</t>
  </si>
  <si>
    <t xml:space="preserve">                                                                            v Gas Boilers at 0.65, and Gas or Mix Electricity</t>
  </si>
  <si>
    <t>A Model of Boiler, Micro-CHP, and DH-CHP, by Gordon Taylor, 1 November 2002</t>
  </si>
  <si>
    <t xml:space="preserve"> Table 2                                           Carbon Savings for Various Options Supplying Useful Heat of 229 TWh/y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</si>
</sst>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00000"/>
    <numFmt numFmtId="167" formatCode="0.00000000000"/>
    <numFmt numFmtId="168" formatCode="0.0000"/>
    <numFmt numFmtId="169" formatCode="0.000000"/>
    <numFmt numFmtId="170" formatCode="0.00000"/>
    <numFmt numFmtId="171" formatCode="0.000_ ;[Red]\-0.000\ "/>
    <numFmt numFmtId="172" formatCode="0.00_ ;[Red]\-0.00\ "/>
    <numFmt numFmtId="173" formatCode="0.0000_ ;[Red]\-0.0000\ "/>
    <numFmt numFmtId="174" formatCode="0_ ;[Red]\-0\ "/>
  </numFmts>
  <fonts count="14">
    <font>
      <sz val="10"/>
      <name val="Arial"/>
      <family val="0"/>
    </font>
    <font>
      <b/>
      <sz val="10"/>
      <name val="Arial"/>
      <family val="2"/>
    </font>
    <font>
      <sz val="19.75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5.25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sz val="15.5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0" fillId="0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72" fontId="0" fillId="0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  <xf numFmtId="165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2" fontId="1" fillId="0" borderId="0" xfId="0" applyNumberFormat="1" applyFont="1" applyAlignment="1">
      <alignment/>
    </xf>
    <xf numFmtId="172" fontId="0" fillId="8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2" borderId="0" xfId="0" applyFont="1" applyFill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Fig. 5 - Carbon Savings per kWh Heat v Electricity Efficiency
 for Gas Micro-CHP v Gas Boilers of 0.65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Sheet1!$O$89</c:f>
              <c:strCache>
                <c:ptCount val="1"/>
                <c:pt idx="0">
                  <c:v>C Svg.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Sheet1!$C$91:$C$96</c:f>
              <c:numCache/>
            </c:numRef>
          </c:yVal>
          <c:smooth val="0"/>
        </c:ser>
        <c:ser>
          <c:idx val="2"/>
          <c:order val="1"/>
          <c:tx>
            <c:strRef>
              <c:f>Sheet1!$O$98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Sheet1!$B$99</c:f>
              <c:numCache/>
            </c:numRef>
          </c:xVal>
          <c:yVal>
            <c:numRef>
              <c:f>Sheet1!$C$99</c:f>
              <c:numCache/>
            </c:numRef>
          </c:yVal>
          <c:smooth val="0"/>
        </c:ser>
        <c:axId val="36823347"/>
        <c:axId val="62974668"/>
      </c:scatterChart>
      <c:val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crossBetween val="midCat"/>
        <c:dispUnits/>
      </c:valAx>
      <c:valAx>
        <c:axId val="6297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33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 9 - Carbon Savings for various options supplying Useful Heat of 229 TWh/y
v Gas Boilers at 0.65 and Gas Electricity at 0.51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Carbon Savings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Sheet1!$D$3:$L$4</c:f>
              <c:multiLvlStrCache/>
            </c:multiLvlStrRef>
          </c:cat>
          <c:val>
            <c:numRef>
              <c:f>Sheet1!$D$112:$L$112</c:f>
              <c:numCache/>
            </c:numRef>
          </c:val>
        </c:ser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Carbon Savings - MtC/y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01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Fig. 4 - Carbon Savings per kWh Heat v Electricity Efficiency
for Gas Micro-CHP v Gas Boilers of 0.65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Sheet1!$P$89</c:f>
              <c:strCache>
                <c:ptCount val="1"/>
                <c:pt idx="0">
                  <c:v>C Svg.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Sheet1!$D$91:$D$96</c:f>
              <c:numCache/>
            </c:numRef>
          </c:yVal>
          <c:smooth val="0"/>
        </c:ser>
        <c:ser>
          <c:idx val="2"/>
          <c:order val="1"/>
          <c:tx>
            <c:strRef>
              <c:f>Sheet1!$P$98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Sheet1!$B$99</c:f>
              <c:numCache/>
            </c:numRef>
          </c:xVal>
          <c:yVal>
            <c:numRef>
              <c:f>Sheet1!$D$99</c:f>
              <c:numCache/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crossBetween val="midCat"/>
        <c:dispUnits/>
      </c:valAx>
      <c:valAx>
        <c:axId val="54630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0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7 - Carbon Saving per kWh Heat v Electricity Efficiency
for Gas DH-CHP v Gas Boilers of 0.65 and Gas Generators of 0.51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Sheet1!$O$89</c:f>
              <c:strCache>
                <c:ptCount val="1"/>
                <c:pt idx="0">
                  <c:v>C Svg. 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Sheet1!$O$91:$O$96</c:f>
              <c:numCache/>
            </c:numRef>
          </c:yVal>
          <c:smooth val="0"/>
        </c:ser>
        <c:ser>
          <c:idx val="2"/>
          <c:order val="1"/>
          <c:tx>
            <c:strRef>
              <c:f>Sheet1!$O$98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Sheet1!$B$101</c:f>
              <c:numCache/>
            </c:numRef>
          </c:xVal>
          <c:yVal>
            <c:numRef>
              <c:f>Sheet1!$O$101</c:f>
              <c:numCache/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crossBetween val="midCat"/>
        <c:dispUnits/>
      </c:val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15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Fig. 6 - Carbon Saving per kWh Heat v Electricity Efficiency
for Gas DH-CHP v Gas Boilers of 0.65 and Mix Generators of 0.44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Sheet1!$P$89</c:f>
              <c:strCache>
                <c:ptCount val="1"/>
                <c:pt idx="0">
                  <c:v>C Svg. Mix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Sheet1!$B$91:$B$96</c:f>
              <c:numCache/>
            </c:numRef>
          </c:xVal>
          <c:yVal>
            <c:numRef>
              <c:f>Sheet1!$P$91:$P$96</c:f>
              <c:numCache/>
            </c:numRef>
          </c:yVal>
          <c:smooth val="0"/>
        </c:ser>
        <c:ser>
          <c:idx val="2"/>
          <c:order val="1"/>
          <c:tx>
            <c:strRef>
              <c:f>Sheet1!$P$98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Sheet1!$B$101</c:f>
              <c:numCache/>
            </c:numRef>
          </c:xVal>
          <c:yVal>
            <c:numRef>
              <c:f>Sheet1!$P$101</c:f>
              <c:numCache/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Electricity Efficiency -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crossBetween val="midCat"/>
        <c:dispUnits/>
      </c:val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Specific Carbon Saving - gC/kWh heat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85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 8 - Carbon Savings for various options supplying Useful Heat of 229 TWh/y
v Gas Boilers at 0.65 and Mix Electricity at 0.44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Carbon Savings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Sheet1!$D$3:$L$4</c:f>
              <c:multiLvlStrCache/>
            </c:multiLvlStrRef>
          </c:cat>
          <c:val>
            <c:numRef>
              <c:f>Sheet1!$D$116:$L$116</c:f>
              <c:numCache/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Carbon Savings - MtC/y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121</xdr:row>
      <xdr:rowOff>95250</xdr:rowOff>
    </xdr:from>
    <xdr:to>
      <xdr:col>25</xdr:col>
      <xdr:colOff>523875</xdr:colOff>
      <xdr:row>145</xdr:row>
      <xdr:rowOff>47625</xdr:rowOff>
    </xdr:to>
    <xdr:graphicFrame>
      <xdr:nvGraphicFramePr>
        <xdr:cNvPr id="1" name="Chart 2"/>
        <xdr:cNvGraphicFramePr/>
      </xdr:nvGraphicFramePr>
      <xdr:xfrm>
        <a:off x="7477125" y="19202400"/>
        <a:ext cx="7191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171</xdr:row>
      <xdr:rowOff>123825</xdr:rowOff>
    </xdr:from>
    <xdr:to>
      <xdr:col>25</xdr:col>
      <xdr:colOff>552450</xdr:colOff>
      <xdr:row>195</xdr:row>
      <xdr:rowOff>28575</xdr:rowOff>
    </xdr:to>
    <xdr:graphicFrame>
      <xdr:nvGraphicFramePr>
        <xdr:cNvPr id="2" name="Chart 13"/>
        <xdr:cNvGraphicFramePr/>
      </xdr:nvGraphicFramePr>
      <xdr:xfrm>
        <a:off x="7524750" y="27327225"/>
        <a:ext cx="71723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121</xdr:row>
      <xdr:rowOff>47625</xdr:rowOff>
    </xdr:from>
    <xdr:to>
      <xdr:col>11</xdr:col>
      <xdr:colOff>276225</xdr:colOff>
      <xdr:row>145</xdr:row>
      <xdr:rowOff>57150</xdr:rowOff>
    </xdr:to>
    <xdr:graphicFrame>
      <xdr:nvGraphicFramePr>
        <xdr:cNvPr id="3" name="Chart 15"/>
        <xdr:cNvGraphicFramePr/>
      </xdr:nvGraphicFramePr>
      <xdr:xfrm>
        <a:off x="85725" y="19154775"/>
        <a:ext cx="70008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146</xdr:row>
      <xdr:rowOff>95250</xdr:rowOff>
    </xdr:from>
    <xdr:to>
      <xdr:col>25</xdr:col>
      <xdr:colOff>542925</xdr:colOff>
      <xdr:row>170</xdr:row>
      <xdr:rowOff>47625</xdr:rowOff>
    </xdr:to>
    <xdr:graphicFrame>
      <xdr:nvGraphicFramePr>
        <xdr:cNvPr id="4" name="Chart 16"/>
        <xdr:cNvGraphicFramePr/>
      </xdr:nvGraphicFramePr>
      <xdr:xfrm>
        <a:off x="7496175" y="23250525"/>
        <a:ext cx="71913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146</xdr:row>
      <xdr:rowOff>66675</xdr:rowOff>
    </xdr:from>
    <xdr:to>
      <xdr:col>11</xdr:col>
      <xdr:colOff>276225</xdr:colOff>
      <xdr:row>170</xdr:row>
      <xdr:rowOff>85725</xdr:rowOff>
    </xdr:to>
    <xdr:graphicFrame>
      <xdr:nvGraphicFramePr>
        <xdr:cNvPr id="5" name="Chart 17"/>
        <xdr:cNvGraphicFramePr/>
      </xdr:nvGraphicFramePr>
      <xdr:xfrm>
        <a:off x="104775" y="23221950"/>
        <a:ext cx="6981825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171</xdr:row>
      <xdr:rowOff>95250</xdr:rowOff>
    </xdr:from>
    <xdr:to>
      <xdr:col>11</xdr:col>
      <xdr:colOff>285750</xdr:colOff>
      <xdr:row>195</xdr:row>
      <xdr:rowOff>19050</xdr:rowOff>
    </xdr:to>
    <xdr:graphicFrame>
      <xdr:nvGraphicFramePr>
        <xdr:cNvPr id="6" name="Chart 20"/>
        <xdr:cNvGraphicFramePr/>
      </xdr:nvGraphicFramePr>
      <xdr:xfrm>
        <a:off x="114300" y="27298650"/>
        <a:ext cx="698182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L148">
      <selection activeCell="L194" sqref="L194"/>
    </sheetView>
  </sheetViews>
  <sheetFormatPr defaultColWidth="9.140625" defaultRowHeight="12.75"/>
  <cols>
    <col min="1" max="1" width="43.7109375" style="0" customWidth="1"/>
    <col min="2" max="2" width="10.00390625" style="0" customWidth="1"/>
    <col min="3" max="3" width="8.28125" style="0" customWidth="1"/>
    <col min="4" max="4" width="10.28125" style="0" customWidth="1"/>
    <col min="5" max="6" width="10.28125" style="0" hidden="1" customWidth="1"/>
    <col min="7" max="7" width="9.28125" style="0" customWidth="1"/>
    <col min="8" max="9" width="10.28125" style="0" customWidth="1"/>
    <col min="10" max="11" width="8.8515625" style="0" hidden="1" customWidth="1"/>
    <col min="12" max="12" width="9.28125" style="0" bestFit="1" customWidth="1"/>
    <col min="13" max="14" width="8.8515625" style="0" hidden="1" customWidth="1"/>
    <col min="15" max="15" width="9.28125" style="0" customWidth="1"/>
  </cols>
  <sheetData>
    <row r="1" ht="12.75">
      <c r="A1" s="1" t="s">
        <v>136</v>
      </c>
    </row>
    <row r="3" spans="1:15" ht="12.75">
      <c r="A3" t="s">
        <v>107</v>
      </c>
      <c r="C3" s="1" t="s">
        <v>41</v>
      </c>
      <c r="D3" s="1" t="s">
        <v>14</v>
      </c>
      <c r="E3" s="1" t="s">
        <v>14</v>
      </c>
      <c r="F3" s="1" t="s">
        <v>14</v>
      </c>
      <c r="G3" s="1" t="s">
        <v>41</v>
      </c>
      <c r="H3" s="1" t="s">
        <v>14</v>
      </c>
      <c r="I3" s="1" t="s">
        <v>44</v>
      </c>
      <c r="J3" s="1" t="s">
        <v>19</v>
      </c>
      <c r="K3" s="1" t="s">
        <v>19</v>
      </c>
      <c r="L3" s="1" t="s">
        <v>19</v>
      </c>
      <c r="M3" s="1" t="s">
        <v>19</v>
      </c>
      <c r="N3" s="1" t="s">
        <v>19</v>
      </c>
      <c r="O3" s="1" t="s">
        <v>19</v>
      </c>
    </row>
    <row r="4" spans="1:15" ht="12.75">
      <c r="A4" t="s">
        <v>99</v>
      </c>
      <c r="C4" s="3" t="s">
        <v>43</v>
      </c>
      <c r="D4" s="3" t="s">
        <v>43</v>
      </c>
      <c r="E4" s="3" t="s">
        <v>43</v>
      </c>
      <c r="F4" t="s">
        <v>43</v>
      </c>
      <c r="G4" s="21" t="s">
        <v>45</v>
      </c>
      <c r="H4" s="21" t="s">
        <v>45</v>
      </c>
      <c r="I4" s="22" t="s">
        <v>45</v>
      </c>
      <c r="J4" s="3" t="s">
        <v>49</v>
      </c>
      <c r="K4" s="3" t="s">
        <v>49</v>
      </c>
      <c r="L4" s="3" t="s">
        <v>49</v>
      </c>
      <c r="M4" s="3" t="s">
        <v>49</v>
      </c>
      <c r="N4" s="3" t="s">
        <v>49</v>
      </c>
      <c r="O4" s="3" t="s">
        <v>49</v>
      </c>
    </row>
    <row r="5" spans="1:15" ht="12.75">
      <c r="A5" t="s">
        <v>64</v>
      </c>
      <c r="C5" s="3"/>
      <c r="D5" s="3"/>
      <c r="E5" s="3"/>
      <c r="F5" s="3" t="s">
        <v>24</v>
      </c>
      <c r="G5" s="3"/>
      <c r="H5" s="3"/>
      <c r="J5" t="s">
        <v>97</v>
      </c>
      <c r="L5" s="3" t="s">
        <v>25</v>
      </c>
      <c r="M5" s="3" t="s">
        <v>69</v>
      </c>
      <c r="O5" s="3" t="s">
        <v>25</v>
      </c>
    </row>
    <row r="6" spans="1:15" ht="12.75">
      <c r="A6" t="s">
        <v>65</v>
      </c>
      <c r="C6" s="3"/>
      <c r="D6" s="3"/>
      <c r="E6" s="3"/>
      <c r="G6" s="3"/>
      <c r="H6" s="3"/>
      <c r="J6" s="20" t="s">
        <v>92</v>
      </c>
      <c r="L6" s="3" t="s">
        <v>67</v>
      </c>
      <c r="M6" s="3" t="s">
        <v>70</v>
      </c>
      <c r="O6" s="3" t="s">
        <v>67</v>
      </c>
    </row>
    <row r="7" spans="1:15" ht="12.75">
      <c r="A7" t="s">
        <v>88</v>
      </c>
      <c r="C7" s="3"/>
      <c r="D7" s="3"/>
      <c r="E7" s="3"/>
      <c r="G7" s="3"/>
      <c r="H7" s="3"/>
      <c r="J7" t="s">
        <v>89</v>
      </c>
      <c r="K7" t="s">
        <v>90</v>
      </c>
      <c r="L7" s="3" t="s">
        <v>98</v>
      </c>
      <c r="M7" s="3"/>
      <c r="O7" s="3" t="s">
        <v>98</v>
      </c>
    </row>
    <row r="8" spans="1:15" ht="12.75">
      <c r="A8" t="s">
        <v>66</v>
      </c>
      <c r="C8" s="3"/>
      <c r="D8" s="3"/>
      <c r="E8" s="3"/>
      <c r="G8" s="3"/>
      <c r="H8" s="3"/>
      <c r="J8" t="s">
        <v>91</v>
      </c>
      <c r="K8" t="s">
        <v>91</v>
      </c>
      <c r="L8" s="3" t="s">
        <v>68</v>
      </c>
      <c r="M8" s="3" t="s">
        <v>68</v>
      </c>
      <c r="N8" t="s">
        <v>86</v>
      </c>
      <c r="O8" s="3" t="s">
        <v>68</v>
      </c>
    </row>
    <row r="9" spans="1:13" ht="12.75">
      <c r="A9" s="1" t="s">
        <v>18</v>
      </c>
      <c r="C9" s="1"/>
      <c r="D9" s="3"/>
      <c r="E9" s="3"/>
      <c r="G9" s="1"/>
      <c r="H9" s="3"/>
      <c r="I9" s="3"/>
      <c r="M9" s="3"/>
    </row>
    <row r="10" spans="1:15" ht="12.75">
      <c r="A10" t="s">
        <v>0</v>
      </c>
      <c r="B10" t="s">
        <v>1</v>
      </c>
      <c r="F10">
        <v>550</v>
      </c>
      <c r="J10">
        <v>545</v>
      </c>
      <c r="K10">
        <v>600</v>
      </c>
      <c r="L10">
        <v>1000</v>
      </c>
      <c r="O10">
        <v>1000</v>
      </c>
    </row>
    <row r="11" spans="1:15" ht="12.75">
      <c r="A11" t="s">
        <v>0</v>
      </c>
      <c r="B11" t="s">
        <v>2</v>
      </c>
      <c r="F11">
        <f>F10+273</f>
        <v>823</v>
      </c>
      <c r="J11">
        <f>J10+273</f>
        <v>818</v>
      </c>
      <c r="K11">
        <f>K10+273</f>
        <v>873</v>
      </c>
      <c r="L11">
        <f>L10+273</f>
        <v>1273</v>
      </c>
      <c r="O11">
        <f>O10+273</f>
        <v>1273</v>
      </c>
    </row>
    <row r="12" spans="1:15" ht="12.75">
      <c r="A12" t="s">
        <v>56</v>
      </c>
      <c r="B12" t="s">
        <v>3</v>
      </c>
      <c r="J12">
        <v>10</v>
      </c>
      <c r="K12">
        <v>10</v>
      </c>
      <c r="L12">
        <v>10</v>
      </c>
      <c r="M12">
        <v>2.84</v>
      </c>
      <c r="O12">
        <v>10</v>
      </c>
    </row>
    <row r="13" spans="1:15" ht="12.75">
      <c r="A13" t="s">
        <v>56</v>
      </c>
      <c r="B13" t="s">
        <v>4</v>
      </c>
      <c r="J13">
        <f>J12+273</f>
        <v>283</v>
      </c>
      <c r="K13">
        <f>K12+273</f>
        <v>283</v>
      </c>
      <c r="L13">
        <f>L12+273</f>
        <v>283</v>
      </c>
      <c r="O13">
        <f>O12+273</f>
        <v>283</v>
      </c>
    </row>
    <row r="14" spans="1:15" ht="12.75">
      <c r="A14" t="s">
        <v>57</v>
      </c>
      <c r="J14" s="4">
        <f>(J11-J13)/J11</f>
        <v>0.6540342298288508</v>
      </c>
      <c r="K14" s="4">
        <f>(K11-K13)/K11</f>
        <v>0.6758304696449027</v>
      </c>
      <c r="L14" s="4">
        <f>(L11-L13)/L11</f>
        <v>0.7776904948939513</v>
      </c>
      <c r="O14" s="4">
        <f>(O11-O13)/O11</f>
        <v>0.7776904948939513</v>
      </c>
    </row>
    <row r="15" spans="1:15" ht="12.75">
      <c r="A15" t="s">
        <v>58</v>
      </c>
      <c r="L15" s="5">
        <v>0.78</v>
      </c>
      <c r="O15" s="5">
        <v>0.78</v>
      </c>
    </row>
    <row r="16" spans="1:15" ht="12.75">
      <c r="A16" t="s">
        <v>76</v>
      </c>
      <c r="L16" s="4">
        <f>L14*L15</f>
        <v>0.606598586017282</v>
      </c>
      <c r="O16" s="4">
        <f>O14*O15</f>
        <v>0.606598586017282</v>
      </c>
    </row>
    <row r="17" spans="1:15" ht="12.75">
      <c r="A17" t="s">
        <v>63</v>
      </c>
      <c r="L17">
        <v>1</v>
      </c>
      <c r="M17" s="4"/>
      <c r="O17">
        <v>1</v>
      </c>
    </row>
    <row r="18" spans="1:15" ht="12.75">
      <c r="A18" t="s">
        <v>77</v>
      </c>
      <c r="J18">
        <v>0.45</v>
      </c>
      <c r="K18">
        <v>0.482</v>
      </c>
      <c r="L18" s="4">
        <f>L16*L17</f>
        <v>0.606598586017282</v>
      </c>
      <c r="M18">
        <v>0.54</v>
      </c>
      <c r="N18">
        <v>0.32</v>
      </c>
      <c r="O18" s="4">
        <f>O16*O17</f>
        <v>0.606598586017282</v>
      </c>
    </row>
    <row r="19" spans="1:15" ht="12.75" hidden="1">
      <c r="A19" t="s">
        <v>71</v>
      </c>
      <c r="B19" t="s">
        <v>75</v>
      </c>
      <c r="J19">
        <v>250</v>
      </c>
      <c r="K19">
        <v>570</v>
      </c>
      <c r="L19" s="4"/>
      <c r="M19">
        <v>301.74</v>
      </c>
      <c r="N19">
        <v>12.09</v>
      </c>
      <c r="O19" s="4"/>
    </row>
    <row r="20" spans="1:15" ht="12.75">
      <c r="A20" t="s">
        <v>59</v>
      </c>
      <c r="B20" t="s">
        <v>3</v>
      </c>
      <c r="F20">
        <v>50</v>
      </c>
      <c r="J20" s="2">
        <v>60</v>
      </c>
      <c r="K20" s="2">
        <v>60</v>
      </c>
      <c r="L20" s="2">
        <f>L40</f>
        <v>68</v>
      </c>
      <c r="M20">
        <v>54</v>
      </c>
      <c r="O20" s="2">
        <f>O40</f>
        <v>68</v>
      </c>
    </row>
    <row r="21" spans="1:15" ht="12.75">
      <c r="A21" t="s">
        <v>59</v>
      </c>
      <c r="B21" t="s">
        <v>4</v>
      </c>
      <c r="F21">
        <f>F20+273</f>
        <v>323</v>
      </c>
      <c r="J21">
        <f>J20+273</f>
        <v>333</v>
      </c>
      <c r="K21">
        <f>K20+273</f>
        <v>333</v>
      </c>
      <c r="L21">
        <f>L20+273</f>
        <v>341</v>
      </c>
      <c r="O21">
        <f>O20+273</f>
        <v>341</v>
      </c>
    </row>
    <row r="22" spans="1:15" ht="12.75">
      <c r="A22" t="s">
        <v>60</v>
      </c>
      <c r="B22" t="s">
        <v>22</v>
      </c>
      <c r="C22" s="4"/>
      <c r="D22" s="4"/>
      <c r="E22" s="4"/>
      <c r="F22" s="4">
        <f>(F11-F21)/F11</f>
        <v>0.6075334143377886</v>
      </c>
      <c r="G22" s="4"/>
      <c r="H22" s="4"/>
      <c r="I22" s="4"/>
      <c r="J22" s="4">
        <f>(J11-J21)/J11</f>
        <v>0.5929095354523227</v>
      </c>
      <c r="K22" s="4">
        <f>(K11-K21)/K11</f>
        <v>0.6185567010309279</v>
      </c>
      <c r="L22" s="4">
        <f>(L11-L21)/L11</f>
        <v>0.7321288295365279</v>
      </c>
      <c r="M22" s="4"/>
      <c r="O22" s="4">
        <f>(O11-O21)/O11</f>
        <v>0.7321288295365279</v>
      </c>
    </row>
    <row r="23" spans="1:15" ht="12.75">
      <c r="A23" t="s">
        <v>61</v>
      </c>
      <c r="B23" t="s">
        <v>22</v>
      </c>
      <c r="F23">
        <v>0.5</v>
      </c>
      <c r="L23" s="5">
        <v>0.78</v>
      </c>
      <c r="M23" s="4"/>
      <c r="O23" s="5">
        <v>0.78</v>
      </c>
    </row>
    <row r="24" spans="1:15" ht="12.75">
      <c r="A24" t="s">
        <v>78</v>
      </c>
      <c r="B24" t="s">
        <v>22</v>
      </c>
      <c r="L24" s="4">
        <f>L22*L23</f>
        <v>0.5710604870384918</v>
      </c>
      <c r="M24" s="4"/>
      <c r="O24" s="4">
        <f>O22*O23</f>
        <v>0.5710604870384918</v>
      </c>
    </row>
    <row r="25" spans="1:15" ht="12.75">
      <c r="A25" s="8" t="s">
        <v>79</v>
      </c>
      <c r="B25" s="8" t="s">
        <v>22</v>
      </c>
      <c r="C25" s="10"/>
      <c r="G25" s="10"/>
      <c r="I25" s="10"/>
      <c r="J25">
        <v>0.36</v>
      </c>
      <c r="K25">
        <v>0.41</v>
      </c>
      <c r="L25" s="10">
        <f>L24*L17</f>
        <v>0.5710604870384918</v>
      </c>
      <c r="M25" s="4">
        <v>0.54</v>
      </c>
      <c r="N25">
        <v>0.32</v>
      </c>
      <c r="O25" s="10">
        <f>O24*O17</f>
        <v>0.5710604870384918</v>
      </c>
    </row>
    <row r="26" spans="1:13" ht="12.75" hidden="1">
      <c r="A26" s="8" t="s">
        <v>74</v>
      </c>
      <c r="B26" s="8" t="s">
        <v>75</v>
      </c>
      <c r="C26" s="10"/>
      <c r="D26" s="10"/>
      <c r="E26" s="10"/>
      <c r="F26" s="12"/>
      <c r="G26" s="10"/>
      <c r="H26" s="10"/>
      <c r="I26" s="10"/>
      <c r="J26">
        <v>215</v>
      </c>
      <c r="K26">
        <v>485</v>
      </c>
      <c r="M26" s="10">
        <v>300</v>
      </c>
    </row>
    <row r="27" spans="1:15" ht="12.75">
      <c r="A27" s="8" t="s">
        <v>80</v>
      </c>
      <c r="B27" t="s">
        <v>22</v>
      </c>
      <c r="J27">
        <f>J18-J25</f>
        <v>0.09000000000000002</v>
      </c>
      <c r="K27">
        <f>K18-K25</f>
        <v>0.07200000000000001</v>
      </c>
      <c r="L27" s="4">
        <f>L18-L25</f>
        <v>0.035538098978790233</v>
      </c>
      <c r="M27" s="4"/>
      <c r="O27" s="4">
        <f>O18-O25</f>
        <v>0.035538098978790233</v>
      </c>
    </row>
    <row r="28" spans="1:15" ht="12.75">
      <c r="A28" s="8" t="s">
        <v>102</v>
      </c>
      <c r="B28" t="s">
        <v>22</v>
      </c>
      <c r="J28">
        <v>0.92</v>
      </c>
      <c r="K28">
        <v>0.95</v>
      </c>
      <c r="L28" s="2">
        <v>0.86</v>
      </c>
      <c r="M28" s="2">
        <v>0.86</v>
      </c>
      <c r="N28" s="4">
        <v>0.86</v>
      </c>
      <c r="O28" s="2">
        <v>0.86</v>
      </c>
    </row>
    <row r="29" spans="1:15" ht="12.75">
      <c r="A29" s="8" t="s">
        <v>87</v>
      </c>
      <c r="B29" t="s">
        <v>22</v>
      </c>
      <c r="J29">
        <f>J28-J25</f>
        <v>0.56</v>
      </c>
      <c r="K29">
        <f>K28-K25</f>
        <v>0.54</v>
      </c>
      <c r="L29" s="10">
        <f>L28-L25</f>
        <v>0.2889395129615082</v>
      </c>
      <c r="M29" s="10">
        <f>M28-M25</f>
        <v>0.31999999999999995</v>
      </c>
      <c r="N29" s="4">
        <f>N28-N18</f>
        <v>0.54</v>
      </c>
      <c r="O29" s="10">
        <f>O28-O25</f>
        <v>0.2889395129615082</v>
      </c>
    </row>
    <row r="30" spans="1:15" ht="12.75">
      <c r="A30" t="s">
        <v>84</v>
      </c>
      <c r="B30" t="s">
        <v>22</v>
      </c>
      <c r="C30" s="4"/>
      <c r="D30" s="11">
        <v>0.15</v>
      </c>
      <c r="E30" s="24">
        <v>0.15</v>
      </c>
      <c r="F30" s="10">
        <v>0.2925</v>
      </c>
      <c r="G30" s="4"/>
      <c r="H30" s="11">
        <v>0.15</v>
      </c>
      <c r="I30" s="11">
        <v>0.4</v>
      </c>
      <c r="J30" s="4">
        <f>J25*0.9</f>
        <v>0.324</v>
      </c>
      <c r="K30" s="4">
        <f>K25*0.9</f>
        <v>0.369</v>
      </c>
      <c r="L30" s="4">
        <f>L25*0.9</f>
        <v>0.5139544383346426</v>
      </c>
      <c r="M30" s="4">
        <f>M25*0.9</f>
        <v>0.48600000000000004</v>
      </c>
      <c r="N30" s="4">
        <f>N25*0.9</f>
        <v>0.28800000000000003</v>
      </c>
      <c r="O30" s="24">
        <v>0.6</v>
      </c>
    </row>
    <row r="31" spans="1:15" ht="12.75">
      <c r="A31" s="8" t="s">
        <v>103</v>
      </c>
      <c r="C31" s="4"/>
      <c r="D31" s="4">
        <v>0.9</v>
      </c>
      <c r="E31" s="4">
        <v>0.9</v>
      </c>
      <c r="F31" s="4">
        <v>0.8</v>
      </c>
      <c r="G31" s="4"/>
      <c r="H31" s="4">
        <v>0.85</v>
      </c>
      <c r="I31" s="4">
        <v>0.85</v>
      </c>
      <c r="J31" s="4"/>
      <c r="K31" s="4"/>
      <c r="L31" s="4">
        <f>L28*0.9</f>
        <v>0.774</v>
      </c>
      <c r="M31" s="4"/>
      <c r="N31" s="4"/>
      <c r="O31" s="4">
        <f>0.515+0.261</f>
        <v>0.776</v>
      </c>
    </row>
    <row r="32" spans="1:15" ht="12.75">
      <c r="A32" s="3" t="s">
        <v>85</v>
      </c>
      <c r="B32" t="s">
        <v>22</v>
      </c>
      <c r="C32" s="4"/>
      <c r="D32" s="4">
        <f>D31-D30</f>
        <v>0.75</v>
      </c>
      <c r="E32" s="4">
        <f>E31-E30</f>
        <v>0.75</v>
      </c>
      <c r="G32" s="4"/>
      <c r="H32" s="4">
        <f>H31-H30</f>
        <v>0.7</v>
      </c>
      <c r="I32" s="4">
        <f>I31-I30</f>
        <v>0.44999999999999996</v>
      </c>
      <c r="J32" s="4">
        <f>J29*0.9</f>
        <v>0.5040000000000001</v>
      </c>
      <c r="K32" s="4">
        <f>K29*0.9</f>
        <v>0.48600000000000004</v>
      </c>
      <c r="L32" s="4">
        <f>L31-L30</f>
        <v>0.2600455616653574</v>
      </c>
      <c r="M32" s="4">
        <f>M29*0.9</f>
        <v>0.288</v>
      </c>
      <c r="N32" s="4">
        <f>N29*0.9</f>
        <v>0.48600000000000004</v>
      </c>
      <c r="O32" s="4">
        <f>O31-O30</f>
        <v>0.17600000000000005</v>
      </c>
    </row>
    <row r="33" spans="1:15" ht="12.75" hidden="1">
      <c r="A33" s="3" t="s">
        <v>72</v>
      </c>
      <c r="B33" t="s">
        <v>73</v>
      </c>
      <c r="C33" s="4"/>
      <c r="D33" s="4"/>
      <c r="E33" s="4"/>
      <c r="F33" s="4"/>
      <c r="G33" s="4"/>
      <c r="H33" s="4"/>
      <c r="I33" s="4"/>
      <c r="L33" s="4"/>
      <c r="M33" s="4"/>
      <c r="N33">
        <v>20.4</v>
      </c>
      <c r="O33" s="4"/>
    </row>
    <row r="34" spans="1:15" ht="12.75">
      <c r="A34" s="3" t="s">
        <v>62</v>
      </c>
      <c r="B34" t="s">
        <v>26</v>
      </c>
      <c r="C34" s="4"/>
      <c r="D34" s="4"/>
      <c r="E34" s="4"/>
      <c r="F34" s="4"/>
      <c r="G34" s="4"/>
      <c r="H34" s="4"/>
      <c r="I34" s="4"/>
      <c r="J34" s="4">
        <f>J29/J27</f>
        <v>6.222222222222221</v>
      </c>
      <c r="K34" s="4">
        <f>K29/K27</f>
        <v>7.5</v>
      </c>
      <c r="L34" s="4">
        <f>L29/L27</f>
        <v>8.130415561450048</v>
      </c>
      <c r="M34" s="4">
        <v>9.15</v>
      </c>
      <c r="O34" s="4">
        <f>O29/O27</f>
        <v>8.130415561450048</v>
      </c>
    </row>
    <row r="35" spans="1:15" s="18" customFormat="1" ht="12.75">
      <c r="A35" s="18" t="s">
        <v>94</v>
      </c>
      <c r="B35" s="18" t="s">
        <v>26</v>
      </c>
      <c r="C35" s="19"/>
      <c r="D35" s="19"/>
      <c r="E35" s="19"/>
      <c r="F35" s="19"/>
      <c r="G35" s="19"/>
      <c r="H35" s="19"/>
      <c r="I35" s="19"/>
      <c r="J35" s="19">
        <f>J34*J25</f>
        <v>2.2399999999999998</v>
      </c>
      <c r="K35" s="19">
        <f>K34*K25</f>
        <v>3.0749999999999997</v>
      </c>
      <c r="L35" s="19">
        <f>L34*L25</f>
        <v>4.642959070346997</v>
      </c>
      <c r="M35" s="19">
        <f>M34*M25</f>
        <v>4.941000000000001</v>
      </c>
      <c r="N35" s="18">
        <f>85130/1.13</f>
        <v>75336.28318584072</v>
      </c>
      <c r="O35" s="19">
        <f>O34*O25</f>
        <v>4.642959070346997</v>
      </c>
    </row>
    <row r="36" spans="1:15" s="18" customFormat="1" ht="12.75">
      <c r="A36" s="18" t="s">
        <v>81</v>
      </c>
      <c r="B36" s="18" t="s">
        <v>26</v>
      </c>
      <c r="C36" s="19"/>
      <c r="D36" s="19"/>
      <c r="E36" s="19"/>
      <c r="F36" s="19"/>
      <c r="G36" s="19"/>
      <c r="H36" s="19"/>
      <c r="I36" s="19"/>
      <c r="J36" s="19">
        <f>J34*J30</f>
        <v>2.016</v>
      </c>
      <c r="K36" s="19">
        <f>K34*K30</f>
        <v>2.7675</v>
      </c>
      <c r="L36" s="19">
        <f>L34*L30</f>
        <v>4.178663163312297</v>
      </c>
      <c r="M36" s="18">
        <f>M35*0.9</f>
        <v>4.446900000000001</v>
      </c>
      <c r="N36" s="18">
        <f>N35*0.9</f>
        <v>67802.65486725664</v>
      </c>
      <c r="O36" s="19">
        <f>O34*O30</f>
        <v>4.878249336870029</v>
      </c>
    </row>
    <row r="37" ht="12.75">
      <c r="A37" s="1" t="s">
        <v>6</v>
      </c>
    </row>
    <row r="38" spans="1:15" ht="12.75">
      <c r="A38" t="s">
        <v>11</v>
      </c>
      <c r="B38" t="s">
        <v>9</v>
      </c>
      <c r="D38">
        <v>70</v>
      </c>
      <c r="E38">
        <v>70</v>
      </c>
      <c r="F38">
        <v>70</v>
      </c>
      <c r="H38">
        <v>70</v>
      </c>
      <c r="I38">
        <v>70</v>
      </c>
      <c r="J38">
        <v>90</v>
      </c>
      <c r="K38">
        <v>90</v>
      </c>
      <c r="L38">
        <v>90</v>
      </c>
      <c r="M38">
        <v>91</v>
      </c>
      <c r="O38">
        <v>90</v>
      </c>
    </row>
    <row r="39" spans="2:15" ht="12.75">
      <c r="B39" t="s">
        <v>10</v>
      </c>
      <c r="D39">
        <f aca="true" t="shared" si="0" ref="D39:L39">D38+273</f>
        <v>343</v>
      </c>
      <c r="E39">
        <f t="shared" si="0"/>
        <v>343</v>
      </c>
      <c r="F39">
        <f t="shared" si="0"/>
        <v>343</v>
      </c>
      <c r="H39">
        <f t="shared" si="0"/>
        <v>343</v>
      </c>
      <c r="I39">
        <f t="shared" si="0"/>
        <v>343</v>
      </c>
      <c r="J39">
        <f>J38+273</f>
        <v>363</v>
      </c>
      <c r="K39">
        <f>K38+273</f>
        <v>363</v>
      </c>
      <c r="L39">
        <f t="shared" si="0"/>
        <v>363</v>
      </c>
      <c r="O39">
        <f>O38+273</f>
        <v>363</v>
      </c>
    </row>
    <row r="40" spans="1:15" ht="12.75">
      <c r="A40" t="s">
        <v>12</v>
      </c>
      <c r="B40" t="s">
        <v>7</v>
      </c>
      <c r="D40">
        <v>50</v>
      </c>
      <c r="E40">
        <v>50</v>
      </c>
      <c r="F40">
        <v>50</v>
      </c>
      <c r="H40">
        <v>50</v>
      </c>
      <c r="I40">
        <v>50</v>
      </c>
      <c r="J40" s="2">
        <v>60</v>
      </c>
      <c r="K40" s="2">
        <v>60</v>
      </c>
      <c r="L40" s="2">
        <v>68</v>
      </c>
      <c r="O40" s="2">
        <v>68</v>
      </c>
    </row>
    <row r="41" spans="2:15" ht="12.75">
      <c r="B41" t="s">
        <v>8</v>
      </c>
      <c r="D41">
        <f aca="true" t="shared" si="1" ref="D41:L41">D40+273</f>
        <v>323</v>
      </c>
      <c r="E41">
        <f t="shared" si="1"/>
        <v>323</v>
      </c>
      <c r="F41">
        <f t="shared" si="1"/>
        <v>323</v>
      </c>
      <c r="H41">
        <f t="shared" si="1"/>
        <v>323</v>
      </c>
      <c r="I41">
        <f t="shared" si="1"/>
        <v>323</v>
      </c>
      <c r="J41">
        <f>J40+273</f>
        <v>333</v>
      </c>
      <c r="K41">
        <f>K40+273</f>
        <v>333</v>
      </c>
      <c r="L41">
        <f t="shared" si="1"/>
        <v>341</v>
      </c>
      <c r="O41">
        <f>O40+273</f>
        <v>341</v>
      </c>
    </row>
    <row r="42" spans="1:15" ht="12.75">
      <c r="A42" t="s">
        <v>13</v>
      </c>
      <c r="B42" t="s">
        <v>26</v>
      </c>
      <c r="D42">
        <f aca="true" t="shared" si="2" ref="D42:L42">D39/(D39-D41)</f>
        <v>17.15</v>
      </c>
      <c r="E42">
        <f t="shared" si="2"/>
        <v>17.15</v>
      </c>
      <c r="F42">
        <f t="shared" si="2"/>
        <v>17.15</v>
      </c>
      <c r="H42">
        <f t="shared" si="2"/>
        <v>17.15</v>
      </c>
      <c r="I42">
        <f t="shared" si="2"/>
        <v>17.15</v>
      </c>
      <c r="J42" s="4">
        <f t="shared" si="2"/>
        <v>12.1</v>
      </c>
      <c r="K42" s="4">
        <f t="shared" si="2"/>
        <v>12.1</v>
      </c>
      <c r="L42" s="4">
        <f t="shared" si="2"/>
        <v>16.5</v>
      </c>
      <c r="O42" s="4">
        <f>O39/(O39-O41)</f>
        <v>16.5</v>
      </c>
    </row>
    <row r="43" spans="1:15" ht="12.75">
      <c r="A43" t="s">
        <v>5</v>
      </c>
      <c r="B43" t="s">
        <v>22</v>
      </c>
      <c r="C43" s="4"/>
      <c r="D43" s="4">
        <f>1/3</f>
        <v>0.3333333333333333</v>
      </c>
      <c r="E43" s="4">
        <f>1/3</f>
        <v>0.3333333333333333</v>
      </c>
      <c r="F43" s="4">
        <f>1/3</f>
        <v>0.3333333333333333</v>
      </c>
      <c r="G43" s="4"/>
      <c r="H43" s="4">
        <f>1/3</f>
        <v>0.3333333333333333</v>
      </c>
      <c r="I43" s="4">
        <f>1/3</f>
        <v>0.3333333333333333</v>
      </c>
      <c r="J43">
        <v>0.5</v>
      </c>
      <c r="K43">
        <v>0.5</v>
      </c>
      <c r="L43">
        <v>0.5</v>
      </c>
      <c r="O43">
        <v>0.5</v>
      </c>
    </row>
    <row r="44" spans="1:15" ht="12.75">
      <c r="A44" t="s">
        <v>93</v>
      </c>
      <c r="B44" t="s">
        <v>26</v>
      </c>
      <c r="C44" s="4"/>
      <c r="D44" s="4">
        <f aca="true" t="shared" si="3" ref="D44:L44">D42*D43</f>
        <v>5.716666666666666</v>
      </c>
      <c r="E44" s="4">
        <f t="shared" si="3"/>
        <v>5.716666666666666</v>
      </c>
      <c r="F44" s="4">
        <f t="shared" si="3"/>
        <v>5.716666666666666</v>
      </c>
      <c r="G44" s="4"/>
      <c r="H44" s="4">
        <f t="shared" si="3"/>
        <v>5.716666666666666</v>
      </c>
      <c r="I44" s="4">
        <f t="shared" si="3"/>
        <v>5.716666666666666</v>
      </c>
      <c r="J44" s="4">
        <f t="shared" si="3"/>
        <v>6.05</v>
      </c>
      <c r="K44" s="4">
        <f t="shared" si="3"/>
        <v>6.05</v>
      </c>
      <c r="L44" s="4">
        <f t="shared" si="3"/>
        <v>8.25</v>
      </c>
      <c r="O44" s="4">
        <f>O42*O43</f>
        <v>8.25</v>
      </c>
    </row>
    <row r="45" spans="1:15" s="18" customFormat="1" ht="12.75">
      <c r="A45" s="18" t="s">
        <v>96</v>
      </c>
      <c r="B45" s="18" t="s">
        <v>26</v>
      </c>
      <c r="C45" s="19"/>
      <c r="D45" s="19"/>
      <c r="E45" s="19"/>
      <c r="F45" s="19"/>
      <c r="G45" s="19"/>
      <c r="H45" s="19"/>
      <c r="I45" s="19"/>
      <c r="J45" s="19">
        <f>J44*J25</f>
        <v>2.178</v>
      </c>
      <c r="K45" s="19">
        <f>K44*K25</f>
        <v>2.4804999999999997</v>
      </c>
      <c r="L45" s="19">
        <f>L44*L25</f>
        <v>4.711249018067557</v>
      </c>
      <c r="O45" s="19">
        <f>O44*O25</f>
        <v>4.711249018067557</v>
      </c>
    </row>
    <row r="46" spans="1:15" ht="12.75">
      <c r="A46" s="18" t="s">
        <v>95</v>
      </c>
      <c r="B46" s="18" t="s">
        <v>26</v>
      </c>
      <c r="C46" s="19"/>
      <c r="D46" s="19">
        <f aca="true" t="shared" si="4" ref="D46:K46">D44*D30</f>
        <v>0.8574999999999998</v>
      </c>
      <c r="E46" s="19">
        <f>E44*E30</f>
        <v>0.8574999999999998</v>
      </c>
      <c r="F46" s="19">
        <f t="shared" si="4"/>
        <v>1.6721249999999996</v>
      </c>
      <c r="G46" s="19"/>
      <c r="H46" s="19">
        <f>H44*H30</f>
        <v>0.8574999999999998</v>
      </c>
      <c r="I46" s="19">
        <f t="shared" si="4"/>
        <v>2.2866666666666666</v>
      </c>
      <c r="J46" s="19">
        <f t="shared" si="4"/>
        <v>1.9602</v>
      </c>
      <c r="K46" s="19">
        <f t="shared" si="4"/>
        <v>2.23245</v>
      </c>
      <c r="L46" s="19">
        <f>L44*L30</f>
        <v>4.240124116260802</v>
      </c>
      <c r="M46" s="19"/>
      <c r="O46" s="19">
        <f>O44*O30</f>
        <v>4.95</v>
      </c>
    </row>
    <row r="47" spans="1:15" ht="12.75">
      <c r="A47" s="3" t="s">
        <v>50</v>
      </c>
      <c r="B47" t="s">
        <v>26</v>
      </c>
      <c r="C47" s="4"/>
      <c r="D47" s="4">
        <f aca="true" t="shared" si="5" ref="D47:N47">D32/D30</f>
        <v>5</v>
      </c>
      <c r="E47" s="4">
        <f>E32/E30</f>
        <v>5</v>
      </c>
      <c r="F47" s="4">
        <f t="shared" si="5"/>
        <v>0</v>
      </c>
      <c r="G47" s="4"/>
      <c r="H47" s="4">
        <f t="shared" si="5"/>
        <v>4.666666666666667</v>
      </c>
      <c r="I47" s="4">
        <f t="shared" si="5"/>
        <v>1.1249999999999998</v>
      </c>
      <c r="J47" s="4">
        <f t="shared" si="5"/>
        <v>1.5555555555555558</v>
      </c>
      <c r="K47" s="4">
        <f t="shared" si="5"/>
        <v>1.3170731707317074</v>
      </c>
      <c r="L47" s="4">
        <f>L32/L30</f>
        <v>0.5059700671288654</v>
      </c>
      <c r="M47" s="4">
        <f t="shared" si="5"/>
        <v>0.5925925925925924</v>
      </c>
      <c r="N47" s="4">
        <f t="shared" si="5"/>
        <v>1.6875</v>
      </c>
      <c r="O47" s="4">
        <f>O32/O30</f>
        <v>0.29333333333333345</v>
      </c>
    </row>
    <row r="48" spans="1:15" ht="12.75">
      <c r="A48" s="3" t="s">
        <v>51</v>
      </c>
      <c r="B48" t="s">
        <v>26</v>
      </c>
      <c r="C48" s="4"/>
      <c r="D48" s="4">
        <f aca="true" t="shared" si="6" ref="D48:O48">1/D47</f>
        <v>0.2</v>
      </c>
      <c r="E48" s="4">
        <f t="shared" si="6"/>
        <v>0.2</v>
      </c>
      <c r="F48" s="4" t="e">
        <f t="shared" si="6"/>
        <v>#DIV/0!</v>
      </c>
      <c r="G48" s="4"/>
      <c r="H48" s="4">
        <f t="shared" si="6"/>
        <v>0.21428571428571427</v>
      </c>
      <c r="I48" s="4">
        <f t="shared" si="6"/>
        <v>0.8888888888888891</v>
      </c>
      <c r="J48" s="4">
        <f t="shared" si="6"/>
        <v>0.6428571428571428</v>
      </c>
      <c r="K48" s="4">
        <f t="shared" si="6"/>
        <v>0.7592592592592592</v>
      </c>
      <c r="L48" s="4">
        <f t="shared" si="6"/>
        <v>1.9764015007340547</v>
      </c>
      <c r="M48" s="4">
        <f t="shared" si="6"/>
        <v>1.6875000000000004</v>
      </c>
      <c r="N48" s="4">
        <f t="shared" si="6"/>
        <v>0.5925925925925926</v>
      </c>
      <c r="O48" s="4">
        <f t="shared" si="6"/>
        <v>3.409090909090908</v>
      </c>
    </row>
    <row r="49" ht="12.75">
      <c r="A49" s="1" t="s">
        <v>16</v>
      </c>
    </row>
    <row r="50" spans="1:15" ht="12.75">
      <c r="A50" t="s">
        <v>100</v>
      </c>
      <c r="B50" t="s">
        <v>20</v>
      </c>
      <c r="C50" s="30">
        <f aca="true" t="shared" si="7" ref="C50:O50">38.5*0.786</f>
        <v>30.261000000000003</v>
      </c>
      <c r="D50" s="30">
        <f t="shared" si="7"/>
        <v>30.261000000000003</v>
      </c>
      <c r="E50" s="30">
        <f t="shared" si="7"/>
        <v>30.261000000000003</v>
      </c>
      <c r="F50" s="30">
        <f t="shared" si="7"/>
        <v>30.261000000000003</v>
      </c>
      <c r="G50" s="30">
        <f t="shared" si="7"/>
        <v>30.261000000000003</v>
      </c>
      <c r="H50" s="30">
        <f t="shared" si="7"/>
        <v>30.261000000000003</v>
      </c>
      <c r="I50" s="30">
        <f t="shared" si="7"/>
        <v>30.261000000000003</v>
      </c>
      <c r="J50" s="30">
        <f t="shared" si="7"/>
        <v>30.261000000000003</v>
      </c>
      <c r="K50" s="30">
        <f t="shared" si="7"/>
        <v>30.261000000000003</v>
      </c>
      <c r="L50" s="30">
        <f t="shared" si="7"/>
        <v>30.261000000000003</v>
      </c>
      <c r="M50">
        <f t="shared" si="7"/>
        <v>30.261000000000003</v>
      </c>
      <c r="N50">
        <f t="shared" si="7"/>
        <v>30.261000000000003</v>
      </c>
      <c r="O50">
        <f t="shared" si="7"/>
        <v>30.261000000000003</v>
      </c>
    </row>
    <row r="51" spans="1:15" ht="12.75">
      <c r="A51" t="s">
        <v>100</v>
      </c>
      <c r="B51" t="s">
        <v>21</v>
      </c>
      <c r="C51" s="30">
        <f aca="true" t="shared" si="8" ref="C51:I51">C50*11.63</f>
        <v>351.93543000000005</v>
      </c>
      <c r="D51" s="30">
        <f t="shared" si="8"/>
        <v>351.93543000000005</v>
      </c>
      <c r="E51" s="30">
        <f t="shared" si="8"/>
        <v>351.93543000000005</v>
      </c>
      <c r="F51" s="30">
        <f t="shared" si="8"/>
        <v>351.93543000000005</v>
      </c>
      <c r="G51" s="30">
        <f>G50*11.63</f>
        <v>351.93543000000005</v>
      </c>
      <c r="H51" s="30">
        <f t="shared" si="8"/>
        <v>351.93543000000005</v>
      </c>
      <c r="I51" s="30">
        <f t="shared" si="8"/>
        <v>351.93543000000005</v>
      </c>
      <c r="J51" s="30">
        <f aca="true" t="shared" si="9" ref="J51:O51">J50*11.63</f>
        <v>351.93543000000005</v>
      </c>
      <c r="K51" s="30">
        <f t="shared" si="9"/>
        <v>351.93543000000005</v>
      </c>
      <c r="L51" s="30">
        <f t="shared" si="9"/>
        <v>351.93543000000005</v>
      </c>
      <c r="M51" s="6">
        <f t="shared" si="9"/>
        <v>351.93543000000005</v>
      </c>
      <c r="N51" s="6">
        <f t="shared" si="9"/>
        <v>351.93543000000005</v>
      </c>
      <c r="O51" s="6">
        <f t="shared" si="9"/>
        <v>351.93543000000005</v>
      </c>
    </row>
    <row r="52" spans="1:15" ht="12.75">
      <c r="A52" s="14" t="s">
        <v>83</v>
      </c>
      <c r="B52" t="s">
        <v>22</v>
      </c>
      <c r="C52">
        <v>0.65</v>
      </c>
      <c r="D52">
        <v>0.65</v>
      </c>
      <c r="E52">
        <v>0.65</v>
      </c>
      <c r="F52">
        <v>0.65</v>
      </c>
      <c r="G52">
        <v>0.65</v>
      </c>
      <c r="H52">
        <v>0.65</v>
      </c>
      <c r="I52">
        <v>0.65</v>
      </c>
      <c r="J52">
        <v>0.65</v>
      </c>
      <c r="K52">
        <v>0.65</v>
      </c>
      <c r="L52">
        <v>0.65</v>
      </c>
      <c r="M52">
        <v>0.65</v>
      </c>
      <c r="N52">
        <v>0.65</v>
      </c>
      <c r="O52">
        <v>0.65</v>
      </c>
    </row>
    <row r="53" spans="1:15" ht="12.75">
      <c r="A53" t="s">
        <v>115</v>
      </c>
      <c r="B53" t="s">
        <v>21</v>
      </c>
      <c r="C53" s="30">
        <f aca="true" t="shared" si="10" ref="C53:L53">C$51*C$52</f>
        <v>228.75802950000005</v>
      </c>
      <c r="D53" s="30">
        <f t="shared" si="10"/>
        <v>228.75802950000005</v>
      </c>
      <c r="E53" s="30">
        <f t="shared" si="10"/>
        <v>228.75802950000005</v>
      </c>
      <c r="F53" s="30">
        <f t="shared" si="10"/>
        <v>228.75802950000005</v>
      </c>
      <c r="G53" s="30">
        <f t="shared" si="10"/>
        <v>228.75802950000005</v>
      </c>
      <c r="H53" s="30">
        <f t="shared" si="10"/>
        <v>228.75802950000005</v>
      </c>
      <c r="I53" s="30">
        <f t="shared" si="10"/>
        <v>228.75802950000005</v>
      </c>
      <c r="J53" s="30">
        <f t="shared" si="10"/>
        <v>228.75802950000005</v>
      </c>
      <c r="K53" s="30">
        <f t="shared" si="10"/>
        <v>228.75802950000005</v>
      </c>
      <c r="L53" s="30">
        <f t="shared" si="10"/>
        <v>228.75802950000005</v>
      </c>
      <c r="M53" s="4">
        <f>M51*M52</f>
        <v>228.75802950000005</v>
      </c>
      <c r="N53" s="4">
        <f>N51*N52</f>
        <v>228.75802950000005</v>
      </c>
      <c r="O53" s="4">
        <f>O$51*O$52</f>
        <v>228.75802950000005</v>
      </c>
    </row>
    <row r="54" spans="1:15" ht="12.75">
      <c r="A54" s="14" t="s">
        <v>17</v>
      </c>
      <c r="B54" t="s">
        <v>22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0.87</v>
      </c>
      <c r="K54">
        <v>0.87</v>
      </c>
      <c r="L54">
        <v>0.87</v>
      </c>
      <c r="M54">
        <v>0.87</v>
      </c>
      <c r="N54">
        <v>0.87</v>
      </c>
      <c r="O54">
        <v>0.87</v>
      </c>
    </row>
    <row r="55" spans="1:15" ht="12.75">
      <c r="A55" s="8" t="s">
        <v>116</v>
      </c>
      <c r="B55" t="s">
        <v>21</v>
      </c>
      <c r="C55">
        <f>C53/C54</f>
        <v>228.75802950000005</v>
      </c>
      <c r="D55">
        <f>D53/D54</f>
        <v>228.75802950000005</v>
      </c>
      <c r="G55">
        <f>G53/G54</f>
        <v>228.75802950000005</v>
      </c>
      <c r="H55">
        <f aca="true" t="shared" si="11" ref="H55:O55">H53/H54</f>
        <v>228.75802950000005</v>
      </c>
      <c r="I55">
        <f t="shared" si="11"/>
        <v>228.75802950000005</v>
      </c>
      <c r="J55">
        <f t="shared" si="11"/>
        <v>262.9402637931035</v>
      </c>
      <c r="K55">
        <f t="shared" si="11"/>
        <v>262.9402637931035</v>
      </c>
      <c r="L55">
        <f t="shared" si="11"/>
        <v>262.9402637931035</v>
      </c>
      <c r="M55">
        <f t="shared" si="11"/>
        <v>262.9402637931035</v>
      </c>
      <c r="N55">
        <f t="shared" si="11"/>
        <v>262.9402637931035</v>
      </c>
      <c r="O55">
        <f t="shared" si="11"/>
        <v>262.9402637931035</v>
      </c>
    </row>
    <row r="56" spans="1:13" ht="12.75">
      <c r="A56" s="1" t="s">
        <v>15</v>
      </c>
      <c r="M56" s="4"/>
    </row>
    <row r="57" spans="1:15" ht="12.75">
      <c r="A57" s="14" t="s">
        <v>112</v>
      </c>
      <c r="B57" t="s">
        <v>22</v>
      </c>
      <c r="C57" s="4">
        <v>1</v>
      </c>
      <c r="D57" s="4">
        <f>1/10</f>
        <v>0.1</v>
      </c>
      <c r="E57" s="4">
        <f>1/10</f>
        <v>0.1</v>
      </c>
      <c r="F57" s="4">
        <f>1/3</f>
        <v>0.3333333333333333</v>
      </c>
      <c r="G57" s="4">
        <v>1</v>
      </c>
      <c r="H57" s="4">
        <f>1/10</f>
        <v>0.1</v>
      </c>
      <c r="I57" s="4">
        <f>1/10</f>
        <v>0.1</v>
      </c>
      <c r="J57">
        <v>0.06</v>
      </c>
      <c r="K57">
        <v>0.06</v>
      </c>
      <c r="L57">
        <v>0.1</v>
      </c>
      <c r="M57">
        <v>0.06</v>
      </c>
      <c r="N57">
        <v>0.06</v>
      </c>
      <c r="O57">
        <v>0.1</v>
      </c>
    </row>
    <row r="58" spans="1:15" ht="12.75">
      <c r="A58" s="3" t="s">
        <v>113</v>
      </c>
      <c r="B58" t="s">
        <v>21</v>
      </c>
      <c r="C58">
        <f>C55*C57</f>
        <v>228.75802950000005</v>
      </c>
      <c r="D58">
        <f>D55*D57</f>
        <v>22.875802950000008</v>
      </c>
      <c r="G58">
        <f>G55*G57</f>
        <v>228.75802950000005</v>
      </c>
      <c r="H58">
        <f aca="true" t="shared" si="12" ref="H58:O58">H55*H57</f>
        <v>22.875802950000008</v>
      </c>
      <c r="I58">
        <f t="shared" si="12"/>
        <v>22.875802950000008</v>
      </c>
      <c r="J58">
        <f t="shared" si="12"/>
        <v>15.77641582758621</v>
      </c>
      <c r="K58">
        <f t="shared" si="12"/>
        <v>15.77641582758621</v>
      </c>
      <c r="L58">
        <f t="shared" si="12"/>
        <v>26.294026379310353</v>
      </c>
      <c r="M58">
        <f t="shared" si="12"/>
        <v>15.77641582758621</v>
      </c>
      <c r="N58">
        <f t="shared" si="12"/>
        <v>15.77641582758621</v>
      </c>
      <c r="O58">
        <f t="shared" si="12"/>
        <v>26.294026379310353</v>
      </c>
    </row>
    <row r="59" spans="1:15" ht="12.75">
      <c r="A59" t="s">
        <v>82</v>
      </c>
      <c r="B59" t="s">
        <v>22</v>
      </c>
      <c r="C59">
        <v>0.65</v>
      </c>
      <c r="D59">
        <v>0.9</v>
      </c>
      <c r="E59">
        <v>0.9</v>
      </c>
      <c r="F59">
        <v>0.75</v>
      </c>
      <c r="G59">
        <v>0.65</v>
      </c>
      <c r="H59">
        <v>0.85</v>
      </c>
      <c r="I59">
        <v>0.85</v>
      </c>
      <c r="J59">
        <v>0.8</v>
      </c>
      <c r="K59">
        <v>0.8</v>
      </c>
      <c r="L59">
        <v>0.8</v>
      </c>
      <c r="M59">
        <v>0.8</v>
      </c>
      <c r="N59">
        <v>0.8</v>
      </c>
      <c r="O59">
        <v>0.8</v>
      </c>
    </row>
    <row r="60" spans="1:15" ht="12.75">
      <c r="A60" t="s">
        <v>114</v>
      </c>
      <c r="B60" t="s">
        <v>21</v>
      </c>
      <c r="C60">
        <f>C58/C59</f>
        <v>351.93543000000005</v>
      </c>
      <c r="D60">
        <f>D58/D59</f>
        <v>25.41755883333334</v>
      </c>
      <c r="G60">
        <f>G58/G59</f>
        <v>351.93543000000005</v>
      </c>
      <c r="H60">
        <f aca="true" t="shared" si="13" ref="H60:O60">H58/H59</f>
        <v>26.912709352941185</v>
      </c>
      <c r="I60">
        <f t="shared" si="13"/>
        <v>26.912709352941185</v>
      </c>
      <c r="J60">
        <f t="shared" si="13"/>
        <v>19.72051978448276</v>
      </c>
      <c r="K60">
        <f t="shared" si="13"/>
        <v>19.72051978448276</v>
      </c>
      <c r="L60">
        <f t="shared" si="13"/>
        <v>32.86753297413794</v>
      </c>
      <c r="M60">
        <f t="shared" si="13"/>
        <v>19.72051978448276</v>
      </c>
      <c r="N60">
        <f t="shared" si="13"/>
        <v>19.72051978448276</v>
      </c>
      <c r="O60">
        <f t="shared" si="13"/>
        <v>32.86753297413794</v>
      </c>
    </row>
    <row r="61" ht="12.75">
      <c r="A61" s="1" t="s">
        <v>124</v>
      </c>
    </row>
    <row r="62" spans="1:15" ht="12.75">
      <c r="A62" t="s">
        <v>27</v>
      </c>
      <c r="B62" t="s">
        <v>21</v>
      </c>
      <c r="C62" s="31">
        <f>C55-C58</f>
        <v>0</v>
      </c>
      <c r="D62" s="31">
        <f>D55-D58</f>
        <v>205.88222655000004</v>
      </c>
      <c r="E62" s="31">
        <f>(1-E57)*E53</f>
        <v>205.88222655000004</v>
      </c>
      <c r="F62" s="31">
        <f>(1-F57)*F53</f>
        <v>152.50535300000004</v>
      </c>
      <c r="G62" s="31">
        <f>G55-G58</f>
        <v>0</v>
      </c>
      <c r="H62" s="31">
        <f aca="true" t="shared" si="14" ref="H62:O62">H55-H58</f>
        <v>205.88222655000004</v>
      </c>
      <c r="I62" s="31">
        <f t="shared" si="14"/>
        <v>205.88222655000004</v>
      </c>
      <c r="J62" s="31">
        <f t="shared" si="14"/>
        <v>247.16384796551728</v>
      </c>
      <c r="K62" s="31">
        <f t="shared" si="14"/>
        <v>247.16384796551728</v>
      </c>
      <c r="L62" s="31">
        <f t="shared" si="14"/>
        <v>236.64623741379313</v>
      </c>
      <c r="M62" s="31">
        <f t="shared" si="14"/>
        <v>247.16384796551728</v>
      </c>
      <c r="N62" s="31">
        <f t="shared" si="14"/>
        <v>247.16384796551728</v>
      </c>
      <c r="O62" s="31">
        <f t="shared" si="14"/>
        <v>236.64623741379313</v>
      </c>
    </row>
    <row r="63" spans="1:15" ht="12.75">
      <c r="A63" t="s">
        <v>101</v>
      </c>
      <c r="B63" t="s">
        <v>21</v>
      </c>
      <c r="C63" s="31">
        <v>0</v>
      </c>
      <c r="D63" s="31">
        <f>D62/D32</f>
        <v>274.50963540000004</v>
      </c>
      <c r="E63" s="31" t="e">
        <f>#REF!+#REF!</f>
        <v>#REF!</v>
      </c>
      <c r="F63" s="31" t="e">
        <f>#REF!+#REF!</f>
        <v>#REF!</v>
      </c>
      <c r="G63" s="31">
        <v>0</v>
      </c>
      <c r="H63" s="31">
        <f aca="true" t="shared" si="15" ref="H63:N63">H62/H32</f>
        <v>294.1174665000001</v>
      </c>
      <c r="I63" s="31">
        <f t="shared" si="15"/>
        <v>457.51605900000015</v>
      </c>
      <c r="J63" s="31">
        <f t="shared" si="15"/>
        <v>490.40446024904213</v>
      </c>
      <c r="K63" s="31">
        <f t="shared" si="15"/>
        <v>508.56758840641413</v>
      </c>
      <c r="L63" s="31">
        <f t="shared" si="15"/>
        <v>910.0183671595365</v>
      </c>
      <c r="M63" s="31">
        <f t="shared" si="15"/>
        <v>858.207805435824</v>
      </c>
      <c r="N63" s="31">
        <f t="shared" si="15"/>
        <v>508.56758840641413</v>
      </c>
      <c r="O63" s="31">
        <f>O62/O32</f>
        <v>1344.5808943965515</v>
      </c>
    </row>
    <row r="64" spans="1:15" ht="12.75">
      <c r="A64" t="s">
        <v>28</v>
      </c>
      <c r="B64" t="s">
        <v>21</v>
      </c>
      <c r="C64" s="31">
        <v>0</v>
      </c>
      <c r="D64" s="31">
        <f>D30*D63</f>
        <v>41.176445310000005</v>
      </c>
      <c r="E64" s="31">
        <f>E$62/E$47</f>
        <v>41.176445310000005</v>
      </c>
      <c r="F64" s="31" t="e">
        <f>F62/F47</f>
        <v>#DIV/0!</v>
      </c>
      <c r="G64" s="31">
        <v>0</v>
      </c>
      <c r="H64" s="31">
        <f aca="true" t="shared" si="16" ref="H64:O64">H30*H63</f>
        <v>44.11761997500001</v>
      </c>
      <c r="I64" s="31">
        <f t="shared" si="16"/>
        <v>183.00642360000006</v>
      </c>
      <c r="J64" s="31">
        <f t="shared" si="16"/>
        <v>158.89104512068965</v>
      </c>
      <c r="K64" s="31">
        <f t="shared" si="16"/>
        <v>187.66144012196682</v>
      </c>
      <c r="L64" s="31">
        <f t="shared" si="16"/>
        <v>467.7079787676882</v>
      </c>
      <c r="M64" s="31">
        <f t="shared" si="16"/>
        <v>417.0889934418105</v>
      </c>
      <c r="N64" s="31">
        <f t="shared" si="16"/>
        <v>146.46746546104728</v>
      </c>
      <c r="O64" s="31">
        <f t="shared" si="16"/>
        <v>806.7485366379309</v>
      </c>
    </row>
    <row r="65" spans="1:15" ht="12.75">
      <c r="A65" s="14" t="s">
        <v>29</v>
      </c>
      <c r="B65" t="s">
        <v>22</v>
      </c>
      <c r="C65" s="37">
        <v>0.926</v>
      </c>
      <c r="D65" s="37">
        <v>1</v>
      </c>
      <c r="E65" s="37">
        <v>1</v>
      </c>
      <c r="F65" s="37">
        <v>1</v>
      </c>
      <c r="G65" s="37">
        <v>0.926</v>
      </c>
      <c r="H65" s="37">
        <v>1</v>
      </c>
      <c r="I65" s="37">
        <v>1</v>
      </c>
      <c r="J65" s="37">
        <v>0.926</v>
      </c>
      <c r="K65" s="37">
        <v>0.926</v>
      </c>
      <c r="L65" s="37">
        <v>0.926</v>
      </c>
      <c r="M65" s="37">
        <v>0.926</v>
      </c>
      <c r="N65" s="37">
        <v>0.926</v>
      </c>
      <c r="O65" s="37">
        <v>0.926</v>
      </c>
    </row>
    <row r="66" spans="1:15" ht="12.75">
      <c r="A66" s="8" t="s">
        <v>128</v>
      </c>
      <c r="B66" t="s">
        <v>21</v>
      </c>
      <c r="C66" s="37">
        <f>C60+C63</f>
        <v>351.93543000000005</v>
      </c>
      <c r="D66" s="37">
        <f>D60+D63</f>
        <v>299.92719423333335</v>
      </c>
      <c r="E66" s="37" t="e">
        <f aca="true" t="shared" si="17" ref="E66:O66">E60+E63</f>
        <v>#REF!</v>
      </c>
      <c r="F66" s="37" t="e">
        <f t="shared" si="17"/>
        <v>#REF!</v>
      </c>
      <c r="G66" s="37">
        <f t="shared" si="17"/>
        <v>351.93543000000005</v>
      </c>
      <c r="H66" s="37">
        <f t="shared" si="17"/>
        <v>321.0301758529413</v>
      </c>
      <c r="I66" s="37">
        <f t="shared" si="17"/>
        <v>484.42876835294135</v>
      </c>
      <c r="J66" s="37">
        <f t="shared" si="17"/>
        <v>510.1249800335249</v>
      </c>
      <c r="K66" s="37">
        <f t="shared" si="17"/>
        <v>528.2881081908969</v>
      </c>
      <c r="L66" s="37">
        <f t="shared" si="17"/>
        <v>942.8859001336745</v>
      </c>
      <c r="M66" s="37">
        <f t="shared" si="17"/>
        <v>877.9283252203068</v>
      </c>
      <c r="N66" s="37">
        <f t="shared" si="17"/>
        <v>528.2881081908969</v>
      </c>
      <c r="O66" s="37">
        <f t="shared" si="17"/>
        <v>1377.4484273706894</v>
      </c>
    </row>
    <row r="67" spans="1:15" ht="12.75">
      <c r="A67" t="s">
        <v>46</v>
      </c>
      <c r="B67" t="s">
        <v>22</v>
      </c>
      <c r="C67" s="3">
        <v>1</v>
      </c>
      <c r="D67" s="3">
        <v>1</v>
      </c>
      <c r="E67" s="3">
        <v>1</v>
      </c>
      <c r="F67">
        <v>0.7</v>
      </c>
      <c r="G67" s="21">
        <v>0.7</v>
      </c>
      <c r="H67" s="21">
        <v>0.7</v>
      </c>
      <c r="I67" s="22">
        <v>0.7</v>
      </c>
      <c r="J67">
        <v>1</v>
      </c>
      <c r="K67">
        <v>1</v>
      </c>
      <c r="L67" s="3">
        <v>1</v>
      </c>
      <c r="M67" s="1"/>
      <c r="O67" s="3">
        <v>1</v>
      </c>
    </row>
    <row r="68" spans="1:15" ht="12.75">
      <c r="A68" t="s">
        <v>129</v>
      </c>
      <c r="B68" t="s">
        <v>21</v>
      </c>
      <c r="C68" s="38">
        <f>C66/C67</f>
        <v>351.93543000000005</v>
      </c>
      <c r="D68" s="38">
        <f aca="true" t="shared" si="18" ref="D68:O68">D66/D67</f>
        <v>299.92719423333335</v>
      </c>
      <c r="E68" s="38" t="e">
        <f t="shared" si="18"/>
        <v>#REF!</v>
      </c>
      <c r="F68" s="38" t="e">
        <f t="shared" si="18"/>
        <v>#REF!</v>
      </c>
      <c r="G68" s="38">
        <f t="shared" si="18"/>
        <v>502.7649000000001</v>
      </c>
      <c r="H68" s="38">
        <f t="shared" si="18"/>
        <v>458.6145369327733</v>
      </c>
      <c r="I68" s="38">
        <f t="shared" si="18"/>
        <v>692.0410976470591</v>
      </c>
      <c r="J68" s="38">
        <f t="shared" si="18"/>
        <v>510.1249800335249</v>
      </c>
      <c r="K68" s="38">
        <f t="shared" si="18"/>
        <v>528.2881081908969</v>
      </c>
      <c r="L68" s="38">
        <f t="shared" si="18"/>
        <v>942.8859001336745</v>
      </c>
      <c r="M68" s="38" t="e">
        <f t="shared" si="18"/>
        <v>#DIV/0!</v>
      </c>
      <c r="N68" s="38" t="e">
        <f t="shared" si="18"/>
        <v>#DIV/0!</v>
      </c>
      <c r="O68" s="38">
        <f t="shared" si="18"/>
        <v>1377.4484273706894</v>
      </c>
    </row>
    <row r="69" spans="1:15" ht="12.75">
      <c r="A69" s="9" t="s">
        <v>125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t="s">
        <v>30</v>
      </c>
      <c r="B70" t="s">
        <v>22</v>
      </c>
      <c r="C70" s="37">
        <v>0.926</v>
      </c>
      <c r="D70" s="37">
        <v>0.926</v>
      </c>
      <c r="E70" s="37">
        <v>0.926</v>
      </c>
      <c r="F70" s="37">
        <v>0.926</v>
      </c>
      <c r="G70" s="37">
        <v>0.926</v>
      </c>
      <c r="H70" s="37">
        <v>0.926</v>
      </c>
      <c r="I70" s="37">
        <v>0.926</v>
      </c>
      <c r="J70" s="37">
        <v>0.926</v>
      </c>
      <c r="K70" s="37">
        <v>0.926</v>
      </c>
      <c r="L70" s="37">
        <v>0.926</v>
      </c>
      <c r="M70" s="37">
        <v>0.926</v>
      </c>
      <c r="N70" s="37">
        <v>0.926</v>
      </c>
      <c r="O70" s="37">
        <v>0.926</v>
      </c>
    </row>
    <row r="71" spans="1:15" ht="12.75">
      <c r="A71" t="s">
        <v>31</v>
      </c>
      <c r="B71" t="s">
        <v>21</v>
      </c>
      <c r="C71" s="23">
        <v>0</v>
      </c>
      <c r="D71" s="31">
        <f>D64*D65/D70</f>
        <v>44.467003574514045</v>
      </c>
      <c r="E71" s="31">
        <f>E64*E65/E70</f>
        <v>44.467003574514045</v>
      </c>
      <c r="F71" s="31" t="e">
        <f>F64*F65/F70</f>
        <v>#DIV/0!</v>
      </c>
      <c r="G71" s="23">
        <v>0</v>
      </c>
      <c r="H71" s="31">
        <f aca="true" t="shared" si="19" ref="H71:O71">H64*H65/H70</f>
        <v>47.643218115550766</v>
      </c>
      <c r="I71" s="31">
        <f t="shared" si="19"/>
        <v>197.63112699784023</v>
      </c>
      <c r="J71" s="31">
        <f t="shared" si="19"/>
        <v>158.89104512068965</v>
      </c>
      <c r="K71" s="31">
        <f t="shared" si="19"/>
        <v>187.66144012196682</v>
      </c>
      <c r="L71" s="31">
        <f t="shared" si="19"/>
        <v>467.7079787676882</v>
      </c>
      <c r="M71" s="31">
        <f t="shared" si="19"/>
        <v>417.0889934418105</v>
      </c>
      <c r="N71" s="31">
        <f t="shared" si="19"/>
        <v>146.46746546104728</v>
      </c>
      <c r="O71" s="31">
        <f t="shared" si="19"/>
        <v>806.7485366379309</v>
      </c>
    </row>
    <row r="72" spans="1:15" ht="12.75">
      <c r="A72" t="s">
        <v>117</v>
      </c>
      <c r="B72" s="8" t="s">
        <v>22</v>
      </c>
      <c r="C72" s="35">
        <v>0.5463</v>
      </c>
      <c r="D72" s="35">
        <v>0.5463</v>
      </c>
      <c r="E72" s="35">
        <v>0.5463</v>
      </c>
      <c r="F72" s="35">
        <v>0.5463</v>
      </c>
      <c r="G72" s="35">
        <v>0.5463</v>
      </c>
      <c r="H72" s="35">
        <v>0.5463</v>
      </c>
      <c r="I72" s="35">
        <v>0.5463</v>
      </c>
      <c r="J72" s="35">
        <v>0.5463</v>
      </c>
      <c r="K72" s="35">
        <v>0.5463</v>
      </c>
      <c r="L72" s="35">
        <v>0.5463</v>
      </c>
      <c r="M72" s="35">
        <v>0.5463</v>
      </c>
      <c r="N72" s="35">
        <v>0.5463</v>
      </c>
      <c r="O72" s="35">
        <v>0.5463</v>
      </c>
    </row>
    <row r="73" spans="1:15" ht="12.75">
      <c r="A73" t="s">
        <v>32</v>
      </c>
      <c r="B73" t="s">
        <v>21</v>
      </c>
      <c r="C73" s="31">
        <f aca="true" t="shared" si="20" ref="C73:I73">C71/C72</f>
        <v>0</v>
      </c>
      <c r="D73" s="31">
        <f t="shared" si="20"/>
        <v>81.39667504029663</v>
      </c>
      <c r="E73" s="31">
        <f t="shared" si="20"/>
        <v>81.39667504029663</v>
      </c>
      <c r="F73" s="31" t="e">
        <f t="shared" si="20"/>
        <v>#DIV/0!</v>
      </c>
      <c r="G73" s="31">
        <f>G71/G72</f>
        <v>0</v>
      </c>
      <c r="H73" s="31">
        <f t="shared" si="20"/>
        <v>87.21072325746067</v>
      </c>
      <c r="I73" s="31">
        <f t="shared" si="20"/>
        <v>361.76300017909614</v>
      </c>
      <c r="J73" s="31">
        <f aca="true" t="shared" si="21" ref="J73:O73">J71/J72</f>
        <v>290.84943276714193</v>
      </c>
      <c r="K73" s="31">
        <f t="shared" si="21"/>
        <v>343.51352758917596</v>
      </c>
      <c r="L73" s="31">
        <f t="shared" si="21"/>
        <v>856.1376144383822</v>
      </c>
      <c r="M73" s="31">
        <f t="shared" si="21"/>
        <v>763.4797610137479</v>
      </c>
      <c r="N73" s="31">
        <f t="shared" si="21"/>
        <v>268.108119093991</v>
      </c>
      <c r="O73" s="31">
        <f t="shared" si="21"/>
        <v>1476.7500213031867</v>
      </c>
    </row>
    <row r="74" spans="1:15" ht="12.75">
      <c r="A74" s="1" t="s">
        <v>126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15" ht="12.75">
      <c r="A75" t="s">
        <v>118</v>
      </c>
      <c r="B75" t="s">
        <v>21</v>
      </c>
      <c r="C75" s="31">
        <f aca="true" t="shared" si="22" ref="C75:I75">C68-C73</f>
        <v>351.93543000000005</v>
      </c>
      <c r="D75" s="31">
        <f>D68-D73</f>
        <v>218.53051919303672</v>
      </c>
      <c r="E75" s="31" t="e">
        <f t="shared" si="22"/>
        <v>#REF!</v>
      </c>
      <c r="F75" s="31" t="e">
        <f t="shared" si="22"/>
        <v>#REF!</v>
      </c>
      <c r="G75" s="31">
        <f t="shared" si="22"/>
        <v>502.7649000000001</v>
      </c>
      <c r="H75" s="31">
        <f t="shared" si="22"/>
        <v>371.4038136753127</v>
      </c>
      <c r="I75" s="31">
        <f t="shared" si="22"/>
        <v>330.278097467963</v>
      </c>
      <c r="J75" s="31">
        <f>J60+J63-J73</f>
        <v>219.27554726638294</v>
      </c>
      <c r="K75" s="31">
        <f>K60+K63-K73</f>
        <v>184.7745806017209</v>
      </c>
      <c r="L75" s="31">
        <f>L68-L73</f>
        <v>86.74828569529222</v>
      </c>
      <c r="M75" s="31">
        <f>M60+M63-M73</f>
        <v>114.4485642065589</v>
      </c>
      <c r="N75" s="31">
        <f>N60+N63-N73</f>
        <v>260.1799890969059</v>
      </c>
      <c r="O75" s="31">
        <f>O68-O73</f>
        <v>-99.30159393249733</v>
      </c>
    </row>
    <row r="76" spans="1:15" ht="12.75">
      <c r="A76" t="s">
        <v>119</v>
      </c>
      <c r="B76" t="s">
        <v>21</v>
      </c>
      <c r="C76" s="31">
        <f aca="true" t="shared" si="23" ref="C76:I76">C51-C75</f>
        <v>0</v>
      </c>
      <c r="D76" s="31">
        <f>D51-D75</f>
        <v>133.40491080696333</v>
      </c>
      <c r="E76" s="31" t="e">
        <f t="shared" si="23"/>
        <v>#REF!</v>
      </c>
      <c r="F76" s="31" t="e">
        <f t="shared" si="23"/>
        <v>#REF!</v>
      </c>
      <c r="G76" s="31">
        <f t="shared" si="23"/>
        <v>-150.82947000000007</v>
      </c>
      <c r="H76" s="31">
        <f t="shared" si="23"/>
        <v>-19.468383675312623</v>
      </c>
      <c r="I76" s="31">
        <f t="shared" si="23"/>
        <v>21.65733253203706</v>
      </c>
      <c r="J76" s="31">
        <f>J51-J68</f>
        <v>-158.18955003352482</v>
      </c>
      <c r="K76" s="31">
        <f>K51-K68</f>
        <v>-176.35267819089682</v>
      </c>
      <c r="L76" s="31">
        <f>L51-L75</f>
        <v>265.18714430470783</v>
      </c>
      <c r="M76" s="31" t="e">
        <f>M51-M68</f>
        <v>#DIV/0!</v>
      </c>
      <c r="N76" s="31" t="e">
        <f>N51-N68</f>
        <v>#DIV/0!</v>
      </c>
      <c r="O76" s="31">
        <f>O51-O75</f>
        <v>451.2370239324974</v>
      </c>
    </row>
    <row r="77" spans="1:15" ht="12.75">
      <c r="A77" t="s">
        <v>38</v>
      </c>
      <c r="B77" t="s">
        <v>33</v>
      </c>
      <c r="C77" s="30">
        <v>54.5</v>
      </c>
      <c r="D77" s="30">
        <v>54.5</v>
      </c>
      <c r="E77" s="30">
        <v>54.5</v>
      </c>
      <c r="F77" s="30">
        <v>54.5</v>
      </c>
      <c r="G77" s="30">
        <v>54.5</v>
      </c>
      <c r="H77" s="30">
        <v>54.5</v>
      </c>
      <c r="I77" s="30">
        <v>54.5</v>
      </c>
      <c r="J77" s="30">
        <v>54.5</v>
      </c>
      <c r="K77" s="30">
        <v>54.5</v>
      </c>
      <c r="L77" s="30">
        <v>54.5</v>
      </c>
      <c r="M77" s="7">
        <v>54.5</v>
      </c>
      <c r="N77" s="7">
        <v>54.5</v>
      </c>
      <c r="O77" s="7">
        <v>54.5</v>
      </c>
    </row>
    <row r="78" spans="1:15" ht="12.75">
      <c r="A78" s="15" t="s">
        <v>47</v>
      </c>
      <c r="B78" t="s">
        <v>23</v>
      </c>
      <c r="C78" s="23">
        <f>C68*C77/1000</f>
        <v>19.180480935000002</v>
      </c>
      <c r="D78" s="23">
        <f>D68*D77/1000</f>
        <v>16.34603208571667</v>
      </c>
      <c r="E78" s="23" t="e">
        <f>#REF!+(#REF!*E$77)/1000</f>
        <v>#REF!</v>
      </c>
      <c r="F78" s="23" t="e">
        <f>#REF!+(#REF!*F$77)/1000</f>
        <v>#REF!</v>
      </c>
      <c r="G78" s="23">
        <f aca="true" t="shared" si="24" ref="G78:O78">G68*G77/1000</f>
        <v>27.40068705000001</v>
      </c>
      <c r="H78" s="23">
        <f t="shared" si="24"/>
        <v>24.994492262836147</v>
      </c>
      <c r="I78" s="23">
        <f t="shared" si="24"/>
        <v>37.716239821764724</v>
      </c>
      <c r="J78" s="23">
        <f t="shared" si="24"/>
        <v>27.801811411827103</v>
      </c>
      <c r="K78" s="23">
        <f t="shared" si="24"/>
        <v>28.79170189640388</v>
      </c>
      <c r="L78" s="23">
        <f t="shared" si="24"/>
        <v>51.387281557285256</v>
      </c>
      <c r="M78" s="23" t="e">
        <f t="shared" si="24"/>
        <v>#DIV/0!</v>
      </c>
      <c r="N78" s="23" t="e">
        <f t="shared" si="24"/>
        <v>#DIV/0!</v>
      </c>
      <c r="O78" s="23">
        <f t="shared" si="24"/>
        <v>75.07093929170257</v>
      </c>
    </row>
    <row r="79" spans="1:15" ht="12.75">
      <c r="A79" s="15" t="s">
        <v>42</v>
      </c>
      <c r="B79" t="s">
        <v>23</v>
      </c>
      <c r="C79" s="23">
        <f aca="true" t="shared" si="25" ref="C79:K79">(C$51+C$73)*C$77/1000</f>
        <v>19.180480935000002</v>
      </c>
      <c r="D79" s="23">
        <f t="shared" si="25"/>
        <v>23.616599724696172</v>
      </c>
      <c r="E79" s="23">
        <f t="shared" si="25"/>
        <v>23.616599724696172</v>
      </c>
      <c r="F79" s="23" t="e">
        <f t="shared" si="25"/>
        <v>#DIV/0!</v>
      </c>
      <c r="G79" s="23">
        <f t="shared" si="25"/>
        <v>19.180480935000002</v>
      </c>
      <c r="H79" s="23">
        <f t="shared" si="25"/>
        <v>23.933465352531606</v>
      </c>
      <c r="I79" s="23">
        <f t="shared" si="25"/>
        <v>38.89656444476075</v>
      </c>
      <c r="J79" s="23">
        <f t="shared" si="25"/>
        <v>35.031775020809235</v>
      </c>
      <c r="K79" s="23">
        <f t="shared" si="25"/>
        <v>37.90196818861009</v>
      </c>
      <c r="L79" s="23">
        <f>(L$51+L$73)*L$77/1000</f>
        <v>65.83998092189184</v>
      </c>
      <c r="M79" s="23">
        <f>(M51+M73)*M77/1000</f>
        <v>60.79012791024926</v>
      </c>
      <c r="N79" s="23">
        <f>(N51+N73)*N77/1000</f>
        <v>33.792373425622515</v>
      </c>
      <c r="O79" s="23">
        <f>(O$51+O$73)*O$77/1000</f>
        <v>99.66335709602369</v>
      </c>
    </row>
    <row r="80" spans="1:15" ht="12.75">
      <c r="A80" s="36" t="s">
        <v>120</v>
      </c>
      <c r="B80" s="2" t="s">
        <v>23</v>
      </c>
      <c r="C80" s="17">
        <f>C76*C77/1000</f>
        <v>0</v>
      </c>
      <c r="D80" s="17">
        <f>D76*D77/1000</f>
        <v>7.270567638979502</v>
      </c>
      <c r="E80" s="17" t="e">
        <f>E$79-E$78</f>
        <v>#REF!</v>
      </c>
      <c r="F80" s="17" t="e">
        <f>F$79-F$78</f>
        <v>#DIV/0!</v>
      </c>
      <c r="G80" s="17">
        <f aca="true" t="shared" si="26" ref="G80:O80">G76*G77/1000</f>
        <v>-8.220206115000005</v>
      </c>
      <c r="H80" s="17">
        <f t="shared" si="26"/>
        <v>-1.061026910304538</v>
      </c>
      <c r="I80" s="17">
        <f t="shared" si="26"/>
        <v>1.1803246229960198</v>
      </c>
      <c r="J80" s="17">
        <f t="shared" si="26"/>
        <v>-8.621330476827103</v>
      </c>
      <c r="K80" s="17">
        <f t="shared" si="26"/>
        <v>-9.611220961403877</v>
      </c>
      <c r="L80" s="17">
        <f t="shared" si="26"/>
        <v>14.452699364606577</v>
      </c>
      <c r="M80" s="17" t="e">
        <f t="shared" si="26"/>
        <v>#DIV/0!</v>
      </c>
      <c r="N80" s="17" t="e">
        <f t="shared" si="26"/>
        <v>#DIV/0!</v>
      </c>
      <c r="O80" s="17">
        <f t="shared" si="26"/>
        <v>24.59241780432111</v>
      </c>
    </row>
    <row r="81" spans="1:15" ht="12.75">
      <c r="A81" s="36" t="s">
        <v>121</v>
      </c>
      <c r="B81" s="2" t="s">
        <v>105</v>
      </c>
      <c r="C81" s="17">
        <f aca="true" t="shared" si="27" ref="C81:L81">C$80*1000/C$53</f>
        <v>0</v>
      </c>
      <c r="D81" s="17">
        <f t="shared" si="27"/>
        <v>31.782786618991665</v>
      </c>
      <c r="E81" s="17" t="e">
        <f t="shared" si="27"/>
        <v>#REF!</v>
      </c>
      <c r="F81" s="17" t="e">
        <f t="shared" si="27"/>
        <v>#DIV/0!</v>
      </c>
      <c r="G81" s="17">
        <f t="shared" si="27"/>
        <v>-35.93406593406595</v>
      </c>
      <c r="H81" s="17">
        <f t="shared" si="27"/>
        <v>-4.638206198154622</v>
      </c>
      <c r="I81" s="17">
        <f t="shared" si="27"/>
        <v>5.159707948070166</v>
      </c>
      <c r="J81" s="17">
        <f t="shared" si="27"/>
        <v>-37.687553506518995</v>
      </c>
      <c r="K81" s="17">
        <f t="shared" si="27"/>
        <v>-42.01479170987471</v>
      </c>
      <c r="L81" s="17">
        <f t="shared" si="27"/>
        <v>63.17898172228561</v>
      </c>
      <c r="M81" s="17"/>
      <c r="N81" s="17"/>
      <c r="O81" s="17">
        <f>O$80*1000/O$53</f>
        <v>107.50406382706274</v>
      </c>
    </row>
    <row r="82" spans="1:15" s="8" customFormat="1" ht="12.75">
      <c r="A82" s="9" t="s">
        <v>127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.75">
      <c r="A83" s="8" t="s">
        <v>39</v>
      </c>
      <c r="B83" s="8" t="s">
        <v>37</v>
      </c>
      <c r="C83" s="23">
        <v>121.3</v>
      </c>
      <c r="D83" s="23">
        <v>121.3</v>
      </c>
      <c r="E83" s="23">
        <v>121.3</v>
      </c>
      <c r="F83" s="23">
        <v>121.3</v>
      </c>
      <c r="G83" s="23">
        <v>121.3</v>
      </c>
      <c r="H83" s="23">
        <v>121.3</v>
      </c>
      <c r="I83" s="23">
        <v>121.3</v>
      </c>
      <c r="J83" s="23">
        <v>121.3</v>
      </c>
      <c r="K83" s="23">
        <v>121.3</v>
      </c>
      <c r="L83" s="23">
        <v>121.3</v>
      </c>
      <c r="M83" s="23">
        <v>121.3</v>
      </c>
      <c r="N83" s="23">
        <v>121.3</v>
      </c>
      <c r="O83" s="23">
        <v>121.3</v>
      </c>
    </row>
    <row r="84" spans="1:15" ht="12.75">
      <c r="A84" s="15" t="s">
        <v>48</v>
      </c>
      <c r="B84" s="8" t="s">
        <v>23</v>
      </c>
      <c r="C84" s="23">
        <f>(C51*C77)/1000+(C$71*C$83)/1000</f>
        <v>19.180480935000002</v>
      </c>
      <c r="D84" s="23">
        <f>(D51*D77)/1000+(D$71*D$83)/1000</f>
        <v>24.574328468588554</v>
      </c>
      <c r="E84" s="23" t="e">
        <f>(E68*E77)/1000-(E$71*E$83)/1000</f>
        <v>#REF!</v>
      </c>
      <c r="F84" s="23" t="e">
        <f>(F68*F77)/1000-(F$71*F$83)/1000</f>
        <v>#REF!</v>
      </c>
      <c r="G84" s="23">
        <f aca="true" t="shared" si="28" ref="G84:O84">(G51*G77)/1000+(G$71*G$83)/1000</f>
        <v>19.180480935000002</v>
      </c>
      <c r="H84" s="23">
        <f t="shared" si="28"/>
        <v>24.95960329241631</v>
      </c>
      <c r="I84" s="23">
        <f t="shared" si="28"/>
        <v>43.153136639838024</v>
      </c>
      <c r="J84" s="23">
        <f t="shared" si="28"/>
        <v>38.45396470813966</v>
      </c>
      <c r="K84" s="23">
        <f t="shared" si="28"/>
        <v>41.943813621794575</v>
      </c>
      <c r="L84" s="23">
        <f t="shared" si="28"/>
        <v>75.91345875952058</v>
      </c>
      <c r="M84" s="23">
        <f t="shared" si="28"/>
        <v>69.7733758394916</v>
      </c>
      <c r="N84" s="23">
        <f t="shared" si="28"/>
        <v>36.946984495425035</v>
      </c>
      <c r="O84" s="23">
        <f t="shared" si="28"/>
        <v>117.03907842918102</v>
      </c>
    </row>
    <row r="85" spans="1:15" ht="12.75">
      <c r="A85" s="36" t="s">
        <v>122</v>
      </c>
      <c r="B85" s="2" t="s">
        <v>23</v>
      </c>
      <c r="C85" s="17">
        <f aca="true" t="shared" si="29" ref="C85:L85">C$84-C$78</f>
        <v>0</v>
      </c>
      <c r="D85" s="17">
        <f t="shared" si="29"/>
        <v>8.228296382871886</v>
      </c>
      <c r="E85" s="17" t="e">
        <f t="shared" si="29"/>
        <v>#REF!</v>
      </c>
      <c r="F85" s="17" t="e">
        <f t="shared" si="29"/>
        <v>#REF!</v>
      </c>
      <c r="G85" s="17">
        <f t="shared" si="29"/>
        <v>-8.220206115000007</v>
      </c>
      <c r="H85" s="17">
        <f t="shared" si="29"/>
        <v>-0.03488897041983563</v>
      </c>
      <c r="I85" s="17">
        <f t="shared" si="29"/>
        <v>5.436896818073301</v>
      </c>
      <c r="J85" s="17">
        <f t="shared" si="29"/>
        <v>10.652153296312555</v>
      </c>
      <c r="K85" s="17">
        <f t="shared" si="29"/>
        <v>13.152111725390697</v>
      </c>
      <c r="L85" s="17">
        <f t="shared" si="29"/>
        <v>24.526177202235324</v>
      </c>
      <c r="M85" s="17" t="e">
        <f>M84-M78</f>
        <v>#DIV/0!</v>
      </c>
      <c r="N85" s="17" t="e">
        <f>N84-N78</f>
        <v>#DIV/0!</v>
      </c>
      <c r="O85" s="17">
        <f>O$84-O$78</f>
        <v>41.968139137478445</v>
      </c>
    </row>
    <row r="86" spans="1:15" s="8" customFormat="1" ht="12.75">
      <c r="A86" s="36" t="s">
        <v>123</v>
      </c>
      <c r="B86" s="2" t="s">
        <v>105</v>
      </c>
      <c r="C86" s="17">
        <f aca="true" t="shared" si="30" ref="C86:L86">C$85*1000/C$53</f>
        <v>0</v>
      </c>
      <c r="D86" s="17">
        <f t="shared" si="30"/>
        <v>35.969431983902815</v>
      </c>
      <c r="E86" s="17" t="e">
        <f t="shared" si="30"/>
        <v>#REF!</v>
      </c>
      <c r="F86" s="17" t="e">
        <f t="shared" si="30"/>
        <v>#REF!</v>
      </c>
      <c r="G86" s="17">
        <f t="shared" si="30"/>
        <v>-35.934065934065956</v>
      </c>
      <c r="H86" s="17">
        <f t="shared" si="30"/>
        <v>-0.152514735749792</v>
      </c>
      <c r="I86" s="17">
        <f t="shared" si="30"/>
        <v>23.767020681008706</v>
      </c>
      <c r="J86" s="17">
        <f t="shared" si="30"/>
        <v>46.565155853086914</v>
      </c>
      <c r="K86" s="17">
        <f t="shared" si="30"/>
        <v>57.493552266285334</v>
      </c>
      <c r="L86" s="17">
        <f t="shared" si="30"/>
        <v>107.21449758875161</v>
      </c>
      <c r="M86" s="23"/>
      <c r="N86" s="23"/>
      <c r="O86" s="17">
        <f>O$85*1000/O$53</f>
        <v>183.46083514186955</v>
      </c>
    </row>
    <row r="87" spans="1:15" s="8" customFormat="1" ht="12.75">
      <c r="A87" s="9"/>
      <c r="C87" s="23"/>
      <c r="D87" s="23"/>
      <c r="E87" s="23"/>
      <c r="F87" s="23"/>
      <c r="G87" s="23"/>
      <c r="H87" s="23"/>
      <c r="I87" s="23"/>
      <c r="J87" s="23"/>
      <c r="K87" s="23"/>
      <c r="L87" s="23"/>
      <c r="O87" s="23"/>
    </row>
    <row r="88" spans="1:16" ht="12.75">
      <c r="A88" s="8"/>
      <c r="B88" s="27"/>
      <c r="C88" s="32" t="s">
        <v>14</v>
      </c>
      <c r="D88" s="32" t="s">
        <v>14</v>
      </c>
      <c r="E88" s="31"/>
      <c r="F88" s="23"/>
      <c r="G88" s="23"/>
      <c r="H88" s="23"/>
      <c r="I88" s="23" t="s">
        <v>44</v>
      </c>
      <c r="J88" s="31"/>
      <c r="K88" s="31"/>
      <c r="L88" s="31"/>
      <c r="M88" s="31" t="s">
        <v>53</v>
      </c>
      <c r="N88" s="33" t="s">
        <v>54</v>
      </c>
      <c r="O88" s="34" t="s">
        <v>106</v>
      </c>
      <c r="P88" s="34" t="s">
        <v>106</v>
      </c>
    </row>
    <row r="89" spans="1:16" ht="12.75">
      <c r="A89" s="8"/>
      <c r="B89" s="27" t="s">
        <v>34</v>
      </c>
      <c r="C89" s="32" t="s">
        <v>104</v>
      </c>
      <c r="D89" s="32" t="s">
        <v>110</v>
      </c>
      <c r="E89" s="31"/>
      <c r="F89" s="31"/>
      <c r="G89" s="23"/>
      <c r="H89" s="31"/>
      <c r="I89" s="23" t="s">
        <v>104</v>
      </c>
      <c r="J89" s="31"/>
      <c r="K89" s="31"/>
      <c r="L89" s="23"/>
      <c r="M89" s="31" t="s">
        <v>35</v>
      </c>
      <c r="N89" s="31" t="s">
        <v>35</v>
      </c>
      <c r="O89" s="34" t="s">
        <v>104</v>
      </c>
      <c r="P89" s="34" t="s">
        <v>110</v>
      </c>
    </row>
    <row r="90" spans="1:16" ht="12.75">
      <c r="A90" s="8"/>
      <c r="B90" s="27" t="s">
        <v>22</v>
      </c>
      <c r="C90" s="32" t="s">
        <v>111</v>
      </c>
      <c r="D90" s="32" t="s">
        <v>111</v>
      </c>
      <c r="E90" s="31"/>
      <c r="F90" s="31"/>
      <c r="G90" s="23"/>
      <c r="H90" s="31"/>
      <c r="I90" s="23" t="s">
        <v>36</v>
      </c>
      <c r="J90" s="31"/>
      <c r="K90" s="31"/>
      <c r="L90" s="31"/>
      <c r="M90" s="31" t="s">
        <v>55</v>
      </c>
      <c r="N90" s="31" t="s">
        <v>55</v>
      </c>
      <c r="O90" s="34" t="s">
        <v>111</v>
      </c>
      <c r="P90" s="34" t="s">
        <v>111</v>
      </c>
    </row>
    <row r="91" spans="1:16" ht="12.75">
      <c r="A91" s="8"/>
      <c r="B91" s="29">
        <v>0.1</v>
      </c>
      <c r="C91" s="32">
        <v>28.6</v>
      </c>
      <c r="D91" s="32">
        <v>31.21</v>
      </c>
      <c r="E91" s="31"/>
      <c r="F91" s="31"/>
      <c r="G91" s="23"/>
      <c r="H91" s="31"/>
      <c r="I91" s="31"/>
      <c r="J91" s="31"/>
      <c r="K91" s="31"/>
      <c r="L91" s="31"/>
      <c r="M91" s="31">
        <f aca="true" t="shared" si="31" ref="M91:M96">L91*1000/M$53</f>
        <v>0</v>
      </c>
      <c r="N91" s="31" t="e">
        <f>#REF!*1000/M$53</f>
        <v>#REF!</v>
      </c>
      <c r="O91" s="34">
        <v>7.88</v>
      </c>
      <c r="P91" s="34">
        <v>11.18</v>
      </c>
    </row>
    <row r="92" spans="1:16" ht="12.75">
      <c r="A92" s="8"/>
      <c r="B92" s="29">
        <v>0.2</v>
      </c>
      <c r="C92" s="32">
        <v>35.42</v>
      </c>
      <c r="D92" s="32">
        <v>41.4</v>
      </c>
      <c r="E92" s="31"/>
      <c r="F92" s="31"/>
      <c r="G92" s="23"/>
      <c r="H92" s="31"/>
      <c r="I92" s="31"/>
      <c r="J92" s="31"/>
      <c r="K92" s="31"/>
      <c r="L92" s="31"/>
      <c r="M92" s="31">
        <f t="shared" si="31"/>
        <v>0</v>
      </c>
      <c r="N92" s="31" t="e">
        <f>#REF!*1000/M$53</f>
        <v>#REF!</v>
      </c>
      <c r="O92" s="34">
        <v>13.97</v>
      </c>
      <c r="P92" s="34">
        <v>21.71</v>
      </c>
    </row>
    <row r="93" spans="1:16" ht="12.75">
      <c r="A93" s="8"/>
      <c r="B93" s="29">
        <v>0.3</v>
      </c>
      <c r="C93" s="32">
        <v>44.52</v>
      </c>
      <c r="D93" s="32">
        <v>54.99</v>
      </c>
      <c r="E93" s="31"/>
      <c r="F93" s="31"/>
      <c r="G93" s="23"/>
      <c r="H93" s="31"/>
      <c r="I93" s="31">
        <v>-5.66</v>
      </c>
      <c r="J93" s="31"/>
      <c r="K93" s="31"/>
      <c r="L93" s="31"/>
      <c r="M93" s="31">
        <f t="shared" si="31"/>
        <v>0</v>
      </c>
      <c r="N93" s="31" t="e">
        <f>#REF!*1000/M$53</f>
        <v>#REF!</v>
      </c>
      <c r="O93" s="34">
        <v>22.62</v>
      </c>
      <c r="P93" s="34">
        <v>36.66</v>
      </c>
    </row>
    <row r="94" spans="1:16" ht="12.75">
      <c r="A94" s="9"/>
      <c r="B94" s="29">
        <v>0.4</v>
      </c>
      <c r="C94" s="32">
        <v>57.26</v>
      </c>
      <c r="D94" s="32">
        <v>74.01</v>
      </c>
      <c r="E94" s="31"/>
      <c r="F94" s="31"/>
      <c r="G94" s="23"/>
      <c r="H94" s="31"/>
      <c r="I94" s="31">
        <v>-1.72</v>
      </c>
      <c r="J94" s="31"/>
      <c r="K94" s="31"/>
      <c r="L94" s="31"/>
      <c r="M94" s="31">
        <f t="shared" si="31"/>
        <v>0</v>
      </c>
      <c r="N94" s="31" t="e">
        <f>#REF!*1000/M$53</f>
        <v>#REF!</v>
      </c>
      <c r="O94" s="34">
        <v>35.86</v>
      </c>
      <c r="P94" s="34">
        <v>59.56</v>
      </c>
    </row>
    <row r="95" spans="2:16" ht="12.75">
      <c r="B95" s="29">
        <v>0.5</v>
      </c>
      <c r="C95" s="32">
        <v>76.37</v>
      </c>
      <c r="D95" s="32">
        <v>102.53</v>
      </c>
      <c r="E95" s="31"/>
      <c r="F95" s="31"/>
      <c r="G95" s="31"/>
      <c r="H95" s="31"/>
      <c r="I95" s="31"/>
      <c r="J95" s="31"/>
      <c r="K95" s="31"/>
      <c r="L95" s="31"/>
      <c r="M95" s="31">
        <f t="shared" si="31"/>
        <v>0</v>
      </c>
      <c r="N95" s="31" t="e">
        <f>#REF!*1000/M$53</f>
        <v>#REF!</v>
      </c>
      <c r="O95" s="34">
        <v>58.7</v>
      </c>
      <c r="P95" s="34">
        <v>99.07</v>
      </c>
    </row>
    <row r="96" spans="2:16" ht="12.75">
      <c r="B96" s="29">
        <v>0.6</v>
      </c>
      <c r="C96" s="32">
        <v>108.21</v>
      </c>
      <c r="D96" s="32">
        <v>150.08</v>
      </c>
      <c r="E96" s="31"/>
      <c r="F96" s="31"/>
      <c r="G96" s="31"/>
      <c r="H96" s="31"/>
      <c r="I96" s="31"/>
      <c r="J96" s="31"/>
      <c r="K96" s="31"/>
      <c r="L96" s="31"/>
      <c r="M96" s="31">
        <f t="shared" si="31"/>
        <v>0</v>
      </c>
      <c r="N96" s="31" t="e">
        <f>#REF!*1000/M$53</f>
        <v>#REF!</v>
      </c>
      <c r="O96" s="34">
        <v>107.5</v>
      </c>
      <c r="P96" s="34">
        <v>183.46</v>
      </c>
    </row>
    <row r="97" spans="3:16" ht="12.75">
      <c r="C97" s="32"/>
      <c r="D97" s="32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4"/>
      <c r="P97" s="34"/>
    </row>
    <row r="98" spans="2:16" ht="12.75">
      <c r="B98" s="13"/>
      <c r="C98" s="32" t="s">
        <v>52</v>
      </c>
      <c r="D98" s="32" t="s">
        <v>52</v>
      </c>
      <c r="E98" s="31"/>
      <c r="F98" s="31"/>
      <c r="G98" s="31"/>
      <c r="H98" s="31"/>
      <c r="I98" s="31" t="s">
        <v>40</v>
      </c>
      <c r="J98" s="31"/>
      <c r="K98" s="31"/>
      <c r="L98" s="31"/>
      <c r="M98" s="31" t="s">
        <v>52</v>
      </c>
      <c r="N98" s="31" t="s">
        <v>52</v>
      </c>
      <c r="O98" s="34" t="s">
        <v>52</v>
      </c>
      <c r="P98" s="34" t="s">
        <v>52</v>
      </c>
    </row>
    <row r="99" spans="2:16" ht="12.75">
      <c r="B99" s="10">
        <v>0.15</v>
      </c>
      <c r="C99" s="32">
        <v>31.78</v>
      </c>
      <c r="D99" s="32">
        <v>35.97</v>
      </c>
      <c r="E99" s="31"/>
      <c r="F99" s="31"/>
      <c r="G99" s="23"/>
      <c r="H99" s="31"/>
      <c r="I99" s="31"/>
      <c r="J99" s="31"/>
      <c r="K99" s="31"/>
      <c r="L99" s="31"/>
      <c r="M99" s="31"/>
      <c r="N99" s="31"/>
      <c r="O99" s="34"/>
      <c r="P99" s="34"/>
    </row>
    <row r="100" spans="3:16" ht="12.75">
      <c r="C100" s="32"/>
      <c r="D100" s="32"/>
      <c r="E100" s="31"/>
      <c r="F100" s="31"/>
      <c r="G100" s="31"/>
      <c r="H100" s="31"/>
      <c r="I100" s="31">
        <v>6.205</v>
      </c>
      <c r="J100" s="31"/>
      <c r="K100" s="31"/>
      <c r="L100" s="31"/>
      <c r="M100" s="31"/>
      <c r="N100" s="31"/>
      <c r="O100" s="34"/>
      <c r="P100" s="34"/>
    </row>
    <row r="101" spans="2:16" ht="12.75">
      <c r="B101" s="28">
        <v>0.515</v>
      </c>
      <c r="C101" s="32"/>
      <c r="D101" s="32"/>
      <c r="E101" s="31"/>
      <c r="F101" s="31"/>
      <c r="G101" s="31"/>
      <c r="H101" s="31"/>
      <c r="I101" s="31"/>
      <c r="J101" s="31"/>
      <c r="K101" s="31"/>
      <c r="L101" s="31"/>
      <c r="M101" s="31">
        <f>L101*1000/M$53</f>
        <v>0</v>
      </c>
      <c r="N101" s="31" t="e">
        <f>#REF!*1000/M$53</f>
        <v>#REF!</v>
      </c>
      <c r="O101" s="34">
        <v>63.63</v>
      </c>
      <c r="P101" s="34">
        <v>107.63</v>
      </c>
    </row>
    <row r="102" ht="12.75">
      <c r="B102" s="4"/>
    </row>
    <row r="103" spans="1:15" ht="12.75">
      <c r="A103" s="25" t="s">
        <v>137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O103" s="7"/>
    </row>
    <row r="104" spans="1:15" ht="12.75">
      <c r="A104" s="25" t="s">
        <v>135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O104" s="7"/>
    </row>
    <row r="105" spans="2:15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O105" s="7"/>
    </row>
    <row r="106" spans="1:15" ht="12.75">
      <c r="A106" s="7" t="s">
        <v>107</v>
      </c>
      <c r="B106" s="7"/>
      <c r="C106" s="25" t="s">
        <v>41</v>
      </c>
      <c r="D106" s="25" t="s">
        <v>14</v>
      </c>
      <c r="E106" s="25" t="s">
        <v>14</v>
      </c>
      <c r="F106" s="25" t="s">
        <v>14</v>
      </c>
      <c r="G106" s="25" t="s">
        <v>41</v>
      </c>
      <c r="H106" s="25" t="s">
        <v>14</v>
      </c>
      <c r="I106" s="25" t="s">
        <v>44</v>
      </c>
      <c r="J106" s="25" t="s">
        <v>19</v>
      </c>
      <c r="K106" s="25" t="s">
        <v>19</v>
      </c>
      <c r="L106" s="25" t="s">
        <v>19</v>
      </c>
      <c r="M106" s="1" t="s">
        <v>19</v>
      </c>
      <c r="N106" s="1" t="s">
        <v>19</v>
      </c>
      <c r="O106" s="25" t="s">
        <v>19</v>
      </c>
    </row>
    <row r="107" spans="1:15" ht="12.75">
      <c r="A107" s="7" t="s">
        <v>99</v>
      </c>
      <c r="B107" s="7"/>
      <c r="C107" s="26" t="s">
        <v>43</v>
      </c>
      <c r="D107" s="26" t="s">
        <v>43</v>
      </c>
      <c r="E107" s="26" t="s">
        <v>43</v>
      </c>
      <c r="F107" s="7" t="s">
        <v>43</v>
      </c>
      <c r="G107" s="39" t="s">
        <v>45</v>
      </c>
      <c r="H107" s="39" t="s">
        <v>45</v>
      </c>
      <c r="I107" s="16" t="s">
        <v>45</v>
      </c>
      <c r="J107" s="26" t="s">
        <v>49</v>
      </c>
      <c r="K107" s="26" t="s">
        <v>49</v>
      </c>
      <c r="L107" s="26" t="s">
        <v>49</v>
      </c>
      <c r="M107" s="3" t="s">
        <v>49</v>
      </c>
      <c r="N107" s="3" t="s">
        <v>49</v>
      </c>
      <c r="O107" s="26" t="s">
        <v>49</v>
      </c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O108" s="7"/>
    </row>
    <row r="109" spans="1:15" ht="12.75">
      <c r="A109" s="7" t="s">
        <v>115</v>
      </c>
      <c r="B109" s="7" t="s">
        <v>109</v>
      </c>
      <c r="C109" s="7">
        <f aca="true" t="shared" si="32" ref="C109:L109">C$51*C$52</f>
        <v>228.75802950000005</v>
      </c>
      <c r="D109" s="7">
        <f t="shared" si="32"/>
        <v>228.75802950000005</v>
      </c>
      <c r="E109" s="7">
        <f t="shared" si="32"/>
        <v>228.75802950000005</v>
      </c>
      <c r="F109" s="7">
        <f t="shared" si="32"/>
        <v>228.75802950000005</v>
      </c>
      <c r="G109" s="7">
        <f t="shared" si="32"/>
        <v>228.75802950000005</v>
      </c>
      <c r="H109" s="7">
        <f t="shared" si="32"/>
        <v>228.75802950000005</v>
      </c>
      <c r="I109" s="7">
        <f t="shared" si="32"/>
        <v>228.75802950000005</v>
      </c>
      <c r="J109" s="7">
        <f t="shared" si="32"/>
        <v>228.75802950000005</v>
      </c>
      <c r="K109" s="7">
        <f t="shared" si="32"/>
        <v>228.75802950000005</v>
      </c>
      <c r="L109" s="7">
        <f t="shared" si="32"/>
        <v>228.75802950000005</v>
      </c>
      <c r="M109" s="4" t="e">
        <f>M106*M100</f>
        <v>#VALUE!</v>
      </c>
      <c r="N109" s="4" t="e">
        <f>N106*N100</f>
        <v>#VALUE!</v>
      </c>
      <c r="O109" s="7">
        <f>O$51*O$52</f>
        <v>228.75802950000005</v>
      </c>
    </row>
    <row r="110" spans="1:15" ht="12.75">
      <c r="A110" s="7" t="s">
        <v>130</v>
      </c>
      <c r="B110" s="7" t="s">
        <v>36</v>
      </c>
      <c r="C110" s="7">
        <f>$C$79</f>
        <v>19.180480935000002</v>
      </c>
      <c r="D110" s="7">
        <f aca="true" t="shared" si="33" ref="D110:O110">$C$79</f>
        <v>19.180480935000002</v>
      </c>
      <c r="E110" s="7">
        <f t="shared" si="33"/>
        <v>19.180480935000002</v>
      </c>
      <c r="F110" s="7">
        <f t="shared" si="33"/>
        <v>19.180480935000002</v>
      </c>
      <c r="G110" s="7">
        <f t="shared" si="33"/>
        <v>19.180480935000002</v>
      </c>
      <c r="H110" s="7">
        <f t="shared" si="33"/>
        <v>19.180480935000002</v>
      </c>
      <c r="I110" s="7">
        <f t="shared" si="33"/>
        <v>19.180480935000002</v>
      </c>
      <c r="J110" s="7">
        <f t="shared" si="33"/>
        <v>19.180480935000002</v>
      </c>
      <c r="K110" s="7">
        <f t="shared" si="33"/>
        <v>19.180480935000002</v>
      </c>
      <c r="L110" s="7">
        <f t="shared" si="33"/>
        <v>19.180480935000002</v>
      </c>
      <c r="M110" s="7">
        <f t="shared" si="33"/>
        <v>19.180480935000002</v>
      </c>
      <c r="N110" s="7">
        <f t="shared" si="33"/>
        <v>19.180480935000002</v>
      </c>
      <c r="O110" s="7">
        <f t="shared" si="33"/>
        <v>19.180480935000002</v>
      </c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s="8" customFormat="1" ht="12.75">
      <c r="A112" s="39" t="s">
        <v>131</v>
      </c>
      <c r="B112" s="16" t="s">
        <v>36</v>
      </c>
      <c r="C112" s="16">
        <f>C80</f>
        <v>0</v>
      </c>
      <c r="D112" s="16">
        <f aca="true" t="shared" si="34" ref="D112:L112">D80</f>
        <v>7.270567638979502</v>
      </c>
      <c r="E112" s="16" t="e">
        <f t="shared" si="34"/>
        <v>#REF!</v>
      </c>
      <c r="F112" s="16" t="e">
        <f t="shared" si="34"/>
        <v>#DIV/0!</v>
      </c>
      <c r="G112" s="16">
        <f t="shared" si="34"/>
        <v>-8.220206115000005</v>
      </c>
      <c r="H112" s="16">
        <f t="shared" si="34"/>
        <v>-1.061026910304538</v>
      </c>
      <c r="I112" s="16">
        <f t="shared" si="34"/>
        <v>1.1803246229960198</v>
      </c>
      <c r="J112" s="16">
        <f t="shared" si="34"/>
        <v>-8.621330476827103</v>
      </c>
      <c r="K112" s="16">
        <f t="shared" si="34"/>
        <v>-9.611220961403877</v>
      </c>
      <c r="L112" s="16">
        <f t="shared" si="34"/>
        <v>14.452699364606577</v>
      </c>
      <c r="M112" s="23" t="e">
        <f>#REF!-#REF!</f>
        <v>#REF!</v>
      </c>
      <c r="N112" s="23" t="e">
        <f>#REF!-#REF!</f>
        <v>#REF!</v>
      </c>
      <c r="O112" s="16">
        <f>O$79-O$78</f>
        <v>24.592417804321116</v>
      </c>
    </row>
    <row r="113" spans="1:15" s="8" customFormat="1" ht="12.75">
      <c r="A113" s="39" t="s">
        <v>131</v>
      </c>
      <c r="B113" s="16" t="s">
        <v>108</v>
      </c>
      <c r="C113" s="16">
        <f>100*C112/C110</f>
        <v>0</v>
      </c>
      <c r="D113" s="16">
        <f aca="true" t="shared" si="35" ref="D113:O113">100*D112/D110</f>
        <v>37.9060757841185</v>
      </c>
      <c r="E113" s="16" t="e">
        <f t="shared" si="35"/>
        <v>#REF!</v>
      </c>
      <c r="F113" s="16" t="e">
        <f t="shared" si="35"/>
        <v>#DIV/0!</v>
      </c>
      <c r="G113" s="16">
        <f t="shared" si="35"/>
        <v>-42.85714285714288</v>
      </c>
      <c r="H113" s="16">
        <f t="shared" si="35"/>
        <v>-5.531805557432118</v>
      </c>
      <c r="I113" s="16">
        <f t="shared" si="35"/>
        <v>6.153780121551574</v>
      </c>
      <c r="J113" s="16">
        <f t="shared" si="35"/>
        <v>-44.94845831052725</v>
      </c>
      <c r="K113" s="16">
        <f t="shared" si="35"/>
        <v>-50.10938460810746</v>
      </c>
      <c r="L113" s="16">
        <f t="shared" si="35"/>
        <v>75.3510791183223</v>
      </c>
      <c r="M113" s="16" t="e">
        <f t="shared" si="35"/>
        <v>#REF!</v>
      </c>
      <c r="N113" s="16" t="e">
        <f t="shared" si="35"/>
        <v>#REF!</v>
      </c>
      <c r="O113" s="16">
        <f t="shared" si="35"/>
        <v>128.2158559405336</v>
      </c>
    </row>
    <row r="114" spans="1:15" s="8" customFormat="1" ht="12.75">
      <c r="A114" s="39" t="s">
        <v>132</v>
      </c>
      <c r="B114" s="16" t="s">
        <v>105</v>
      </c>
      <c r="C114" s="16">
        <f>C81</f>
        <v>0</v>
      </c>
      <c r="D114" s="16">
        <f aca="true" t="shared" si="36" ref="D114:L114">D81</f>
        <v>31.782786618991665</v>
      </c>
      <c r="E114" s="16" t="e">
        <f t="shared" si="36"/>
        <v>#REF!</v>
      </c>
      <c r="F114" s="16" t="e">
        <f t="shared" si="36"/>
        <v>#DIV/0!</v>
      </c>
      <c r="G114" s="16">
        <f t="shared" si="36"/>
        <v>-35.93406593406595</v>
      </c>
      <c r="H114" s="16">
        <f t="shared" si="36"/>
        <v>-4.638206198154622</v>
      </c>
      <c r="I114" s="16">
        <f t="shared" si="36"/>
        <v>5.159707948070166</v>
      </c>
      <c r="J114" s="16">
        <f t="shared" si="36"/>
        <v>-37.687553506518995</v>
      </c>
      <c r="K114" s="16">
        <f t="shared" si="36"/>
        <v>-42.01479170987471</v>
      </c>
      <c r="L114" s="16">
        <f t="shared" si="36"/>
        <v>63.17898172228561</v>
      </c>
      <c r="M114" s="23"/>
      <c r="N114" s="23"/>
      <c r="O114" s="16">
        <f>O$80*1000/O$53</f>
        <v>107.50406382706274</v>
      </c>
    </row>
    <row r="115" spans="1:15" s="8" customFormat="1" ht="12.75">
      <c r="A115" s="3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/>
      <c r="N115" s="23"/>
      <c r="O115" s="16"/>
    </row>
    <row r="116" spans="1:15" s="8" customFormat="1" ht="12.75">
      <c r="A116" s="39" t="s">
        <v>133</v>
      </c>
      <c r="B116" s="16" t="s">
        <v>36</v>
      </c>
      <c r="C116" s="16">
        <f>C85</f>
        <v>0</v>
      </c>
      <c r="D116" s="16">
        <f aca="true" t="shared" si="37" ref="D116:L116">D85</f>
        <v>8.228296382871886</v>
      </c>
      <c r="E116" s="16" t="e">
        <f t="shared" si="37"/>
        <v>#REF!</v>
      </c>
      <c r="F116" s="16" t="e">
        <f t="shared" si="37"/>
        <v>#REF!</v>
      </c>
      <c r="G116" s="16">
        <f t="shared" si="37"/>
        <v>-8.220206115000007</v>
      </c>
      <c r="H116" s="16">
        <f t="shared" si="37"/>
        <v>-0.03488897041983563</v>
      </c>
      <c r="I116" s="16">
        <f t="shared" si="37"/>
        <v>5.436896818073301</v>
      </c>
      <c r="J116" s="16">
        <f t="shared" si="37"/>
        <v>10.652153296312555</v>
      </c>
      <c r="K116" s="16">
        <f t="shared" si="37"/>
        <v>13.152111725390697</v>
      </c>
      <c r="L116" s="16">
        <f t="shared" si="37"/>
        <v>24.526177202235324</v>
      </c>
      <c r="M116" s="23" t="e">
        <f>#REF!-#REF!</f>
        <v>#REF!</v>
      </c>
      <c r="N116" s="23" t="e">
        <f>#REF!-#REF!</f>
        <v>#REF!</v>
      </c>
      <c r="O116" s="16">
        <f>O$84-O$78</f>
        <v>41.968139137478445</v>
      </c>
    </row>
    <row r="117" spans="1:15" s="8" customFormat="1" ht="12.75">
      <c r="A117" s="39" t="s">
        <v>133</v>
      </c>
      <c r="B117" s="16" t="s">
        <v>108</v>
      </c>
      <c r="C117" s="16">
        <f>100*C116/C110</f>
        <v>0</v>
      </c>
      <c r="D117" s="16">
        <f aca="true" t="shared" si="38" ref="D117:O117">100*D116/D110</f>
        <v>42.89932254960887</v>
      </c>
      <c r="E117" s="16" t="e">
        <f t="shared" si="38"/>
        <v>#REF!</v>
      </c>
      <c r="F117" s="16" t="e">
        <f t="shared" si="38"/>
        <v>#REF!</v>
      </c>
      <c r="G117" s="16">
        <f t="shared" si="38"/>
        <v>-42.85714285714289</v>
      </c>
      <c r="H117" s="16">
        <f t="shared" si="38"/>
        <v>-0.1818983086924125</v>
      </c>
      <c r="I117" s="16">
        <f t="shared" si="38"/>
        <v>28.345987968175525</v>
      </c>
      <c r="J117" s="16">
        <f t="shared" si="38"/>
        <v>55.536424411938526</v>
      </c>
      <c r="K117" s="16">
        <f t="shared" si="38"/>
        <v>68.57029169373482</v>
      </c>
      <c r="L117" s="16">
        <f t="shared" si="38"/>
        <v>127.87050171135515</v>
      </c>
      <c r="M117" s="16" t="e">
        <f t="shared" si="38"/>
        <v>#REF!</v>
      </c>
      <c r="N117" s="16" t="e">
        <f t="shared" si="38"/>
        <v>#REF!</v>
      </c>
      <c r="O117" s="16">
        <f t="shared" si="38"/>
        <v>218.80650062791787</v>
      </c>
    </row>
    <row r="118" spans="1:15" s="8" customFormat="1" ht="12.75">
      <c r="A118" s="39" t="s">
        <v>134</v>
      </c>
      <c r="B118" s="16" t="s">
        <v>105</v>
      </c>
      <c r="C118" s="16">
        <f>C86</f>
        <v>0</v>
      </c>
      <c r="D118" s="16">
        <f aca="true" t="shared" si="39" ref="D118:L118">D86</f>
        <v>35.969431983902815</v>
      </c>
      <c r="E118" s="16" t="e">
        <f t="shared" si="39"/>
        <v>#REF!</v>
      </c>
      <c r="F118" s="16" t="e">
        <f t="shared" si="39"/>
        <v>#REF!</v>
      </c>
      <c r="G118" s="16">
        <f t="shared" si="39"/>
        <v>-35.934065934065956</v>
      </c>
      <c r="H118" s="16">
        <f t="shared" si="39"/>
        <v>-0.152514735749792</v>
      </c>
      <c r="I118" s="16">
        <f t="shared" si="39"/>
        <v>23.767020681008706</v>
      </c>
      <c r="J118" s="16">
        <f t="shared" si="39"/>
        <v>46.565155853086914</v>
      </c>
      <c r="K118" s="16">
        <f t="shared" si="39"/>
        <v>57.493552266285334</v>
      </c>
      <c r="L118" s="16">
        <f t="shared" si="39"/>
        <v>107.21449758875161</v>
      </c>
      <c r="O118" s="16">
        <f>O$85*1000/O$53</f>
        <v>183.46083514186955</v>
      </c>
    </row>
    <row r="119" ht="12.75">
      <c r="B119" s="4"/>
    </row>
    <row r="120" spans="2:9" ht="12.75">
      <c r="B120" s="13"/>
      <c r="C120" s="13"/>
      <c r="D120" s="13"/>
      <c r="E120" s="13"/>
      <c r="F120" s="13"/>
      <c r="G120" s="13"/>
      <c r="H120" s="13"/>
      <c r="I120" s="13"/>
    </row>
    <row r="121" spans="2:9" ht="12.75">
      <c r="B121" s="13"/>
      <c r="C121" s="13"/>
      <c r="D121" s="13"/>
      <c r="E121" s="13"/>
      <c r="F121" s="13"/>
      <c r="G121" s="13"/>
      <c r="H121" s="13"/>
      <c r="I121" s="13"/>
    </row>
    <row r="122" spans="2:9" ht="12.75">
      <c r="B122" s="13"/>
      <c r="C122" s="13"/>
      <c r="D122" s="13"/>
      <c r="E122" s="13"/>
      <c r="F122" s="13"/>
      <c r="G122" s="13"/>
      <c r="H122" s="13"/>
      <c r="I122" s="13"/>
    </row>
    <row r="123" spans="2:9" ht="12.75">
      <c r="B123" s="13"/>
      <c r="C123" s="13"/>
      <c r="D123" s="13"/>
      <c r="E123" s="13"/>
      <c r="F123" s="13"/>
      <c r="G123" s="13"/>
      <c r="H123" s="13"/>
      <c r="I123" s="13"/>
    </row>
    <row r="124" spans="2:9" ht="12.75">
      <c r="B124" s="13"/>
      <c r="C124" s="13"/>
      <c r="D124" s="13"/>
      <c r="E124" s="13"/>
      <c r="F124" s="13"/>
      <c r="G124" s="13"/>
      <c r="H124" s="13"/>
      <c r="I124" s="13"/>
    </row>
    <row r="125" spans="2:9" ht="12.75">
      <c r="B125" s="13"/>
      <c r="C125" s="13"/>
      <c r="D125" s="13"/>
      <c r="E125" s="13"/>
      <c r="F125" s="13"/>
      <c r="G125" s="13"/>
      <c r="H125" s="13"/>
      <c r="I125" s="13"/>
    </row>
    <row r="126" spans="2:9" ht="12.75">
      <c r="B126" s="13"/>
      <c r="C126" s="13"/>
      <c r="D126" s="13"/>
      <c r="E126" s="13"/>
      <c r="F126" s="13"/>
      <c r="G126" s="13"/>
      <c r="H126" s="13"/>
      <c r="I126" s="13"/>
    </row>
    <row r="127" spans="2:9" ht="12.75">
      <c r="B127" s="13"/>
      <c r="C127" s="13"/>
      <c r="D127" s="13"/>
      <c r="E127" s="13"/>
      <c r="F127" s="13"/>
      <c r="G127" s="13"/>
      <c r="H127" s="13"/>
      <c r="I127" s="13"/>
    </row>
    <row r="128" spans="2:9" ht="12.75">
      <c r="B128" s="13"/>
      <c r="C128" s="13"/>
      <c r="D128" s="13"/>
      <c r="E128" s="13"/>
      <c r="F128" s="13"/>
      <c r="G128" s="13"/>
      <c r="H128" s="13"/>
      <c r="I128" s="13"/>
    </row>
    <row r="129" spans="2:9" ht="12.75">
      <c r="B129" s="13"/>
      <c r="C129" s="13"/>
      <c r="D129" s="13"/>
      <c r="E129" s="13"/>
      <c r="F129" s="13"/>
      <c r="G129" s="13"/>
      <c r="H129" s="13"/>
      <c r="I129" s="13"/>
    </row>
    <row r="130" spans="2:9" ht="12.75">
      <c r="B130" s="13"/>
      <c r="C130" s="13"/>
      <c r="D130" s="13"/>
      <c r="E130" s="13"/>
      <c r="F130" s="13"/>
      <c r="G130" s="13"/>
      <c r="H130" s="13"/>
      <c r="I130" s="13"/>
    </row>
  </sheetData>
  <printOptions/>
  <pageMargins left="0.41" right="0.3937007874015748" top="0.63" bottom="0.3937007874015748" header="0.5905511811023623" footer="0.3937007874015748"/>
  <pageSetup horizontalDpi="600" verticalDpi="600" orientation="landscape" paperSize="9" scale="12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Gordon Taylor</cp:lastModifiedBy>
  <cp:lastPrinted>2004-05-14T19:42:20Z</cp:lastPrinted>
  <dcterms:created xsi:type="dcterms:W3CDTF">2002-03-11T11:36:17Z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