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firstSheet="3" activeTab="3"/>
  </bookViews>
  <sheets>
    <sheet name="Answer Report 21" sheetId="1" r:id="rId1"/>
    <sheet name="Sensitivity Report 21" sheetId="2" r:id="rId2"/>
    <sheet name="Limits Report 21" sheetId="3" r:id="rId3"/>
    <sheet name="Sheet1" sheetId="4" r:id="rId4"/>
    <sheet name="Sheet2" sheetId="5" r:id="rId5"/>
    <sheet name="Sheet3" sheetId="6" r:id="rId6"/>
  </sheets>
  <definedNames>
    <definedName name="anscount" hidden="1">21</definedName>
    <definedName name="limcount" hidden="1">21</definedName>
    <definedName name="_xlnm.Print_Area" localSheetId="3">'Sheet1'!$A$1:$L$102</definedName>
    <definedName name="sencount" hidden="1">21</definedName>
    <definedName name="solver_adj" localSheetId="3" hidden="1">'Sheet1'!$D$52,'Sheet1'!$D$54,'Sheet1'!$F$58,'Sheet1'!$I$60,'Sheet1'!$I$69,'Sheet1'!$H$70,'Sheet1'!$J$75,'Sheet1'!$J$76,'Sheet1'!$J$77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'Sheet1'!$I$69</definedName>
    <definedName name="solver_lhs10" localSheetId="3" hidden="1">'Sheet1'!$D$54</definedName>
    <definedName name="solver_lhs11" localSheetId="3" hidden="1">'Sheet1'!$L$79</definedName>
    <definedName name="solver_lhs12" localSheetId="3" hidden="1">'Sheet1'!$J$85</definedName>
    <definedName name="solver_lhs13" localSheetId="3" hidden="1">'Sheet1'!$J$85</definedName>
    <definedName name="solver_lhs14" localSheetId="3" hidden="1">'Sheet1'!$I$69</definedName>
    <definedName name="solver_lhs15" localSheetId="3" hidden="1">'Sheet1'!$G$97</definedName>
    <definedName name="solver_lhs16" localSheetId="3" hidden="1">'Sheet1'!$J$76</definedName>
    <definedName name="solver_lhs17" localSheetId="3" hidden="1">'Sheet1'!$L$92</definedName>
    <definedName name="solver_lhs18" localSheetId="3" hidden="1">'Sheet1'!$D$52</definedName>
    <definedName name="solver_lhs19" localSheetId="3" hidden="1">'Sheet1'!$D$52</definedName>
    <definedName name="solver_lhs2" localSheetId="3" hidden="1">'Sheet1'!$J$76</definedName>
    <definedName name="solver_lhs20" localSheetId="3" hidden="1">'Sheet1'!$J$84</definedName>
    <definedName name="solver_lhs21" localSheetId="3" hidden="1">'Sheet1'!$F$64</definedName>
    <definedName name="solver_lhs22" localSheetId="3" hidden="1">'Sheet1'!$I$84</definedName>
    <definedName name="solver_lhs23" localSheetId="3" hidden="1">'Sheet1'!$D$54</definedName>
    <definedName name="solver_lhs24" localSheetId="3" hidden="1">'Sheet1'!$J$87</definedName>
    <definedName name="solver_lhs25" localSheetId="3" hidden="1">'Sheet1'!$G$97</definedName>
    <definedName name="solver_lhs26" localSheetId="3" hidden="1">'Sheet1'!$E$95</definedName>
    <definedName name="solver_lhs3" localSheetId="3" hidden="1">'Sheet1'!$H$70</definedName>
    <definedName name="solver_lhs4" localSheetId="3" hidden="1">'Sheet1'!$F$58</definedName>
    <definedName name="solver_lhs5" localSheetId="3" hidden="1">'Sheet1'!$I$60</definedName>
    <definedName name="solver_lhs6" localSheetId="3" hidden="1">'Sheet1'!$J$75</definedName>
    <definedName name="solver_lhs7" localSheetId="3" hidden="1">'Sheet1'!$H$93</definedName>
    <definedName name="solver_lhs8" localSheetId="3" hidden="1">'Sheet1'!$E$95</definedName>
    <definedName name="solver_lhs9" localSheetId="3" hidden="1">'Sheet1'!$J$77</definedName>
    <definedName name="solver_lin" localSheetId="3" hidden="1">2</definedName>
    <definedName name="solver_neg" localSheetId="3" hidden="1">2</definedName>
    <definedName name="solver_num" localSheetId="3" hidden="1">26</definedName>
    <definedName name="solver_nwt" localSheetId="3" hidden="1">1</definedName>
    <definedName name="solver_opt" localSheetId="3" hidden="1">'Sheet1'!$J$76</definedName>
    <definedName name="solver_pre" localSheetId="3" hidden="1">0.000001</definedName>
    <definedName name="solver_rel1" localSheetId="3" hidden="1">1</definedName>
    <definedName name="solver_rel10" localSheetId="3" hidden="1">3</definedName>
    <definedName name="solver_rel11" localSheetId="3" hidden="1">1</definedName>
    <definedName name="solver_rel12" localSheetId="3" hidden="1">1</definedName>
    <definedName name="solver_rel13" localSheetId="3" hidden="1">3</definedName>
    <definedName name="solver_rel14" localSheetId="3" hidden="1">3</definedName>
    <definedName name="solver_rel15" localSheetId="3" hidden="1">3</definedName>
    <definedName name="solver_rel16" localSheetId="3" hidden="1">1</definedName>
    <definedName name="solver_rel17" localSheetId="3" hidden="1">1</definedName>
    <definedName name="solver_rel18" localSheetId="3" hidden="1">3</definedName>
    <definedName name="solver_rel19" localSheetId="3" hidden="1">1</definedName>
    <definedName name="solver_rel2" localSheetId="3" hidden="1">3</definedName>
    <definedName name="solver_rel20" localSheetId="3" hidden="1">1</definedName>
    <definedName name="solver_rel21" localSheetId="3" hidden="1">3</definedName>
    <definedName name="solver_rel22" localSheetId="3" hidden="1">3</definedName>
    <definedName name="solver_rel23" localSheetId="3" hidden="1">1</definedName>
    <definedName name="solver_rel24" localSheetId="3" hidden="1">1</definedName>
    <definedName name="solver_rel25" localSheetId="3" hidden="1">1</definedName>
    <definedName name="solver_rel26" localSheetId="3" hidden="1">1</definedName>
    <definedName name="solver_rel3" localSheetId="3" hidden="1">3</definedName>
    <definedName name="solver_rel4" localSheetId="3" hidden="1">3</definedName>
    <definedName name="solver_rel5" localSheetId="3" hidden="1">3</definedName>
    <definedName name="solver_rel6" localSheetId="3" hidden="1">3</definedName>
    <definedName name="solver_rel7" localSheetId="3" hidden="1">3</definedName>
    <definedName name="solver_rel8" localSheetId="3" hidden="1">3</definedName>
    <definedName name="solver_rel9" localSheetId="3" hidden="1">3</definedName>
    <definedName name="solver_rhs1" localSheetId="3" hidden="1">10</definedName>
    <definedName name="solver_rhs10" localSheetId="3" hidden="1">0</definedName>
    <definedName name="solver_rhs11" localSheetId="3" hidden="1">'Sheet1'!$L$78</definedName>
    <definedName name="solver_rhs12" localSheetId="3" hidden="1">0</definedName>
    <definedName name="solver_rhs13" localSheetId="3" hidden="1">0</definedName>
    <definedName name="solver_rhs14" localSheetId="3" hidden="1">0</definedName>
    <definedName name="solver_rhs15" localSheetId="3" hidden="1">0</definedName>
    <definedName name="solver_rhs16" localSheetId="3" hidden="1">50</definedName>
    <definedName name="solver_rhs17" localSheetId="3" hidden="1">62</definedName>
    <definedName name="solver_rhs18" localSheetId="3" hidden="1">0</definedName>
    <definedName name="solver_rhs19" localSheetId="3" hidden="1">1</definedName>
    <definedName name="solver_rhs2" localSheetId="3" hidden="1">0</definedName>
    <definedName name="solver_rhs20" localSheetId="3" hidden="1">0</definedName>
    <definedName name="solver_rhs21" localSheetId="3" hidden="1">0</definedName>
    <definedName name="solver_rhs22" localSheetId="3" hidden="1">0</definedName>
    <definedName name="solver_rhs23" localSheetId="3" hidden="1">1</definedName>
    <definedName name="solver_rhs24" localSheetId="3" hidden="1">0</definedName>
    <definedName name="solver_rhs25" localSheetId="3" hidden="1">0</definedName>
    <definedName name="solver_rhs26" localSheetId="3" hidden="1">0.2</definedName>
    <definedName name="solver_rhs3" localSheetId="3" hidden="1">0</definedName>
    <definedName name="solver_rhs4" localSheetId="3" hidden="1">0</definedName>
    <definedName name="solver_rhs5" localSheetId="3" hidden="1">0</definedName>
    <definedName name="solver_rhs6" localSheetId="3" hidden="1">0</definedName>
    <definedName name="solver_rhs7" localSheetId="3" hidden="1">0</definedName>
    <definedName name="solver_rhs8" localSheetId="3" hidden="1">0</definedName>
    <definedName name="solver_rhs9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60.2</definedName>
  </definedNames>
  <calcPr fullCalcOnLoad="1"/>
</workbook>
</file>

<file path=xl/comments4.xml><?xml version="1.0" encoding="utf-8"?>
<comments xmlns="http://schemas.openxmlformats.org/spreadsheetml/2006/main">
  <authors>
    <author>Gordon Taylor</author>
  </authors>
  <commentList>
    <comment ref="G13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7.7 % of households use electric heating [Ref. ecuk.pdf]</t>
        </r>
      </text>
    </comment>
    <comment ref="E13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78.6 % of households use gas (central) heating [Ref. ecuk.pdf]</t>
        </r>
      </text>
    </comment>
    <comment ref="I13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I assume that the remainder of the dwellings are rural (beyond gas networks)</t>
        </r>
      </text>
    </comment>
    <comment ref="A70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Yield of 5.3 toe/ha,y is a low value for miscanthus</t>
        </r>
      </text>
    </comment>
    <comment ref="A75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Values of 1.771 and 0.394 taken from Richards, Levington paper.</t>
        </r>
      </text>
    </comment>
    <comment ref="A80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Elec/eth = 13.1, 
H T Heat/eth = 2.76/0.8, and recovered/eth = (15.86-1)*0.8
 for ethanol synthesis are from Dewulf et al papers
</t>
        </r>
      </text>
    </comment>
    <comment ref="A65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COP of 4.179 from model of DH-CHP with GTCC</t>
        </r>
      </text>
    </comment>
    <comment ref="A66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Alpha value of 1.976 from model of DH-CHP with GTCC
and elec T &amp; D loss  factor is 0.926</t>
        </r>
      </text>
    </comment>
    <comment ref="A67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Effy of 0.514 from model of DH-CHP with GTCC</t>
        </r>
      </text>
    </comment>
    <comment ref="F13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Domestic boiler effy of 0.65 is from PIU</t>
        </r>
      </text>
    </comment>
    <comment ref="F14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Domestic boiler effy of 0.65 is from PIU</t>
        </r>
      </text>
    </comment>
    <comment ref="A93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Primary gas for 2001 of 95.1 mtoe is from ecuk.pdf</t>
        </r>
      </text>
    </comment>
    <comment ref="A94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Primary oil for 2001 of 76.5 mtoe is from ecuk.pdf</t>
        </r>
      </text>
    </comment>
    <comment ref="A69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The biomass waste (biogass) resource is assumed to be 10 mtoe/y</t>
        </r>
      </text>
    </comment>
    <comment ref="A88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Gas overhead factor is 0.95</t>
        </r>
      </text>
    </comment>
    <comment ref="A82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Elec T &amp; D loss factor is 0.926</t>
        </r>
      </text>
    </comment>
    <comment ref="H54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For Industrial and Services Non-DH, boiler effy=0.8</t>
        </r>
      </text>
    </comment>
    <comment ref="H55" authorId="0">
      <text>
        <r>
          <rPr>
            <b/>
            <sz val="8"/>
            <rFont val="Tahoma"/>
            <family val="0"/>
          </rPr>
          <t>Gordon Taylor:</t>
        </r>
        <r>
          <rPr>
            <sz val="8"/>
            <rFont val="Tahoma"/>
            <family val="0"/>
          </rPr>
          <t xml:space="preserve">
For Domestic Non-DH, boiler effy=0.65 - hence extra fuel.</t>
        </r>
      </text>
    </comment>
  </commentList>
</comments>
</file>

<file path=xl/sharedStrings.xml><?xml version="1.0" encoding="utf-8"?>
<sst xmlns="http://schemas.openxmlformats.org/spreadsheetml/2006/main" count="291" uniqueCount="175">
  <si>
    <t>Data from 'Energy Consumption in the United Kingdom', 'ecuk.pdf', DTI &amp; NS, July 2002</t>
  </si>
  <si>
    <t>Transport</t>
  </si>
  <si>
    <t>Total Final</t>
  </si>
  <si>
    <t>mtoe</t>
  </si>
  <si>
    <t>Final Elec</t>
  </si>
  <si>
    <t>Rail</t>
  </si>
  <si>
    <t>Road</t>
  </si>
  <si>
    <t>Water</t>
  </si>
  <si>
    <t>Air</t>
  </si>
  <si>
    <t>Total</t>
  </si>
  <si>
    <t>Useful Heat</t>
  </si>
  <si>
    <t>Domestic</t>
  </si>
  <si>
    <t>Space heating</t>
  </si>
  <si>
    <t>Water Heating</t>
  </si>
  <si>
    <t>Lights &amp; Appl.</t>
  </si>
  <si>
    <t>Cooking</t>
  </si>
  <si>
    <t>Industrial</t>
  </si>
  <si>
    <t>High Temp. Process</t>
  </si>
  <si>
    <t>Low Temp. Process</t>
  </si>
  <si>
    <t>Drying/Separation</t>
  </si>
  <si>
    <t>Motors</t>
  </si>
  <si>
    <t>Compressed Air</t>
  </si>
  <si>
    <t>Lighting</t>
  </si>
  <si>
    <t>Refrigeration</t>
  </si>
  <si>
    <t>Other</t>
  </si>
  <si>
    <t>Services</t>
  </si>
  <si>
    <t>Catering</t>
  </si>
  <si>
    <t>Hot Water</t>
  </si>
  <si>
    <t>Heating</t>
  </si>
  <si>
    <t>Computing</t>
  </si>
  <si>
    <t>Cooling, Ventilation</t>
  </si>
  <si>
    <t>Total Useful Heat</t>
  </si>
  <si>
    <t>Total Final Electricity</t>
  </si>
  <si>
    <t>Final T Fuel</t>
  </si>
  <si>
    <t>Final H Fuel</t>
  </si>
  <si>
    <t>Total Final Transport Fuel</t>
  </si>
  <si>
    <t>Grand Total Final</t>
  </si>
  <si>
    <t>Oil for Non-Road Transport</t>
  </si>
  <si>
    <t>Fuel for Road Transport</t>
  </si>
  <si>
    <t>Oil for R T Fuel Blends at 0.1</t>
  </si>
  <si>
    <t>Spare Electricity from CHP</t>
  </si>
  <si>
    <t>C Intensity</t>
  </si>
  <si>
    <t>MtC/mtoe</t>
  </si>
  <si>
    <t>C Emissions</t>
  </si>
  <si>
    <t>Total Carbon Emissions</t>
  </si>
  <si>
    <t>MtC</t>
  </si>
  <si>
    <t>Final 2001</t>
  </si>
  <si>
    <t>Land Use Change</t>
  </si>
  <si>
    <t>Fuel for Centrals</t>
  </si>
  <si>
    <t>Final Gas</t>
  </si>
  <si>
    <t>Renewable Elec for Heat &amp; Synth.</t>
  </si>
  <si>
    <t>Demand Reduction Factor</t>
  </si>
  <si>
    <t>Renewable Elec - TWh/y</t>
  </si>
  <si>
    <t>Scale Factor</t>
  </si>
  <si>
    <t>Synthetic ethanol</t>
  </si>
  <si>
    <t>Cogen Elec Cap. at LF 0.5 - GWe</t>
  </si>
  <si>
    <t>Ren. Elec. Cap. at LF 0.38 - GWe</t>
  </si>
  <si>
    <t>Elec for Rural Heat</t>
  </si>
  <si>
    <t>Elec Rural Heat</t>
  </si>
  <si>
    <t>Fraction UK for Energy Crops etc</t>
  </si>
  <si>
    <t>Target Carbon Emissions for 2050</t>
  </si>
  <si>
    <t>Bioeth. at 1.771 toe/ha,y + 0.394</t>
  </si>
  <si>
    <t>Microsoft Excel 8.0a Answer Report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</si>
  <si>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</si>
  <si>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</si>
  <si>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</si>
  <si>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</si>
  <si>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</si>
  <si>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</si>
  <si>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</si>
  <si>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</si>
  <si>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</si>
  <si>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</si>
  <si>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Total Carbon Emissions MtC</t>
  </si>
  <si>
    <t>Fraction UK for Energy Crops etc mtoe</t>
  </si>
  <si>
    <t>Not Binding</t>
  </si>
  <si>
    <t>$F$58</t>
  </si>
  <si>
    <t>$I$60</t>
  </si>
  <si>
    <t>Elec Rural Heat mtoe</t>
  </si>
  <si>
    <t>Target Cell (Min)</t>
  </si>
  <si>
    <t>Renewable Elec - TWh/y mtoe</t>
  </si>
  <si>
    <t>$J$76</t>
  </si>
  <si>
    <t>Bioeth. at 1.771 toe/ha,y + 0.394 mtoe</t>
  </si>
  <si>
    <t>Cogen Elec Cap. at LF 0.5 - GWe mtoe</t>
  </si>
  <si>
    <t>Binding</t>
  </si>
  <si>
    <t>$F$58&gt;=0</t>
  </si>
  <si>
    <t>$I$60&gt;=0</t>
  </si>
  <si>
    <t>$J$76&gt;=0</t>
  </si>
  <si>
    <t>Microsoft Excel 8.0a Sensitivity Report</t>
  </si>
  <si>
    <t>Final</t>
  </si>
  <si>
    <t>Value</t>
  </si>
  <si>
    <t>Reduced</t>
  </si>
  <si>
    <t>Gradient</t>
  </si>
  <si>
    <t>Lagrange</t>
  </si>
  <si>
    <t>Multiplier</t>
  </si>
  <si>
    <t>Microsoft Excel 8.0a Limits Report</t>
  </si>
  <si>
    <t>Target</t>
  </si>
  <si>
    <t>Adjustable</t>
  </si>
  <si>
    <t>Lower</t>
  </si>
  <si>
    <t>Limit</t>
  </si>
  <si>
    <t>Result</t>
  </si>
  <si>
    <t>Upper</t>
  </si>
  <si>
    <t>Total Final Rural Dom. Htg. Fuel</t>
  </si>
  <si>
    <t>Total Final Gas for Hi Temp Heat</t>
  </si>
  <si>
    <t>Cogen Heat for DH etc</t>
  </si>
  <si>
    <t>Heat Only Boiler Heat for DH etc</t>
  </si>
  <si>
    <t>Elec Heat for DH etc</t>
  </si>
  <si>
    <t>Fuel for HOB Heat for DH etc</t>
  </si>
  <si>
    <t>Total Fuel for Centrals etc</t>
  </si>
  <si>
    <t>Available C from Centrals at 0.9</t>
  </si>
  <si>
    <t>C needed for ethanol synthesis</t>
  </si>
  <si>
    <t>Imported ethanol</t>
  </si>
  <si>
    <t>Cogen Electricity=Heat*Alpha</t>
  </si>
  <si>
    <t>Fuel for Cogen Elec=Elec/Effy</t>
  </si>
  <si>
    <t>Elec Heat for DH etc mtoe</t>
  </si>
  <si>
    <t>$H$70</t>
  </si>
  <si>
    <t>$J$77</t>
  </si>
  <si>
    <t>Imported ethanol mtoe</t>
  </si>
  <si>
    <t>Synthetic ethanol mtoe</t>
  </si>
  <si>
    <t>$E$92</t>
  </si>
  <si>
    <t>$E$92&gt;=0</t>
  </si>
  <si>
    <t>$G$94</t>
  </si>
  <si>
    <t>$H$90</t>
  </si>
  <si>
    <t>C needed for ethanol synthesis MtC</t>
  </si>
  <si>
    <t>$L$89</t>
  </si>
  <si>
    <t>$L$89&lt;=60.2</t>
  </si>
  <si>
    <t>$G$93</t>
  </si>
  <si>
    <t>$G$93&lt;=100</t>
  </si>
  <si>
    <t>$H$70&gt;=0</t>
  </si>
  <si>
    <t>$J$77&gt;=0</t>
  </si>
  <si>
    <t>$I$69</t>
  </si>
  <si>
    <t>$I$69&gt;=0</t>
  </si>
  <si>
    <t>$I$69&lt;=10</t>
  </si>
  <si>
    <t>$H$90&gt;=0</t>
  </si>
  <si>
    <t>Gas 2050/Gas 2001 - ratio</t>
  </si>
  <si>
    <t>Oil 2050/Oil 2001 - ratio</t>
  </si>
  <si>
    <t>Gas 2050/Gas 2001 - ratio mtoe</t>
  </si>
  <si>
    <t>Wastes for Rural Dom. Heat</t>
  </si>
  <si>
    <t>Worksheet: [Summary of Fuel Use and Carbon Emissions 8.xls]Sheet1</t>
  </si>
  <si>
    <t>En. Crop @ 5.3 toe/ha,y for Cents. mtoe</t>
  </si>
  <si>
    <t>$J$75</t>
  </si>
  <si>
    <t>Wastes for Rural Dom. Heat mtoe</t>
  </si>
  <si>
    <t>$L$79</t>
  </si>
  <si>
    <t>$L$79&lt;=$L$78</t>
  </si>
  <si>
    <t>$J$75&gt;=0</t>
  </si>
  <si>
    <t>$J$76&lt;=20</t>
  </si>
  <si>
    <t>$J$91</t>
  </si>
  <si>
    <t>Oil 2050/Oil 2001 - ratio mtoe</t>
  </si>
  <si>
    <t>Report Created: 07/08/02 11:50:35</t>
  </si>
  <si>
    <t>$J$91&lt;=0.16</t>
  </si>
  <si>
    <t>$G$94&lt;=200</t>
  </si>
  <si>
    <t>Report Created: 07/08/02 11:50:36</t>
  </si>
  <si>
    <t>District Heating fraction</t>
  </si>
  <si>
    <t>Elec for DH etc.</t>
  </si>
  <si>
    <t>En. Crop for Cents. @ 5.3 toe/ha,y</t>
  </si>
  <si>
    <t xml:space="preserve">Electric heating fraction </t>
  </si>
  <si>
    <t>Demand adjusted for DH</t>
  </si>
  <si>
    <t>Demand adjusted for electric htg.</t>
  </si>
  <si>
    <t>Total Primary Energy</t>
  </si>
  <si>
    <t>Total Final/Total Primary</t>
  </si>
  <si>
    <t>Total Renewable Energy</t>
  </si>
  <si>
    <t>Total Renewable/Total Primary</t>
  </si>
  <si>
    <t>Totals for each energy form</t>
  </si>
  <si>
    <t>Energy flows for ethanol synthesis</t>
  </si>
  <si>
    <t>Ethanol for R T Fuel Blends at 0.9*0.9</t>
  </si>
  <si>
    <t>Total Final Demand - TWh/y</t>
  </si>
  <si>
    <t>Excess Oil</t>
  </si>
  <si>
    <t>Total Oil Required</t>
  </si>
  <si>
    <t>Net Ethanol for Trans. &amp; R. Htg.</t>
  </si>
  <si>
    <t>Net Oil for Transport</t>
  </si>
  <si>
    <t>Net Oil for Rural Heating</t>
  </si>
  <si>
    <t>Net Gas for HOB, CHP, and Eth. Synth.</t>
  </si>
  <si>
    <t>Fuel for Cogen Heat=Heat/THE</t>
  </si>
  <si>
    <t>Extra fuel for domestic Non-DH</t>
  </si>
  <si>
    <t>UK Energy Use and Carbon Emissions in 2050, Gordon Taylor, 18 November 2003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</si>
</sst>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0.0"/>
    <numFmt numFmtId="174" formatCode="0.0000000000000"/>
    <numFmt numFmtId="175" formatCode="0.0000000000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73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3" fontId="0" fillId="3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173" fontId="0" fillId="0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173" fontId="0" fillId="0" borderId="2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3" fontId="0" fillId="4" borderId="0" xfId="0" applyNumberFormat="1" applyFill="1" applyAlignment="1">
      <alignment/>
    </xf>
    <xf numFmtId="172" fontId="0" fillId="4" borderId="0" xfId="0" applyNumberFormat="1" applyFill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3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3" fontId="0" fillId="5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34.00390625" style="0" bestFit="1" customWidth="1"/>
    <col min="4" max="4" width="13.140625" style="0" bestFit="1" customWidth="1"/>
    <col min="5" max="5" width="13.28125" style="0" bestFit="1" customWidth="1"/>
    <col min="6" max="6" width="10.28125" style="0" bestFit="1" customWidth="1"/>
    <col min="7" max="7" width="12.00390625" style="0" bestFit="1" customWidth="1"/>
  </cols>
  <sheetData>
    <row r="1" ht="12.75">
      <c r="A1" s="1" t="s">
        <v>62</v>
      </c>
    </row>
    <row r="2" ht="12.75">
      <c r="A2" s="1" t="s">
        <v>138</v>
      </c>
    </row>
    <row r="3" ht="12.75">
      <c r="A3" s="1" t="s">
        <v>148</v>
      </c>
    </row>
    <row r="6" ht="13.5" thickBot="1">
      <c r="A6" t="s">
        <v>79</v>
      </c>
    </row>
    <row r="7" spans="2:5" ht="13.5" thickBot="1">
      <c r="B7" s="22" t="s">
        <v>63</v>
      </c>
      <c r="C7" s="22" t="s">
        <v>64</v>
      </c>
      <c r="D7" s="22" t="s">
        <v>65</v>
      </c>
      <c r="E7" s="22" t="s">
        <v>66</v>
      </c>
    </row>
    <row r="8" spans="2:5" ht="13.5" thickBot="1">
      <c r="B8" s="12" t="s">
        <v>119</v>
      </c>
      <c r="C8" s="12" t="s">
        <v>74</v>
      </c>
      <c r="D8" s="14">
        <v>0.13742697571694482</v>
      </c>
      <c r="E8" s="14">
        <v>0.13742697571694482</v>
      </c>
    </row>
    <row r="11" ht="13.5" thickBot="1">
      <c r="A11" t="s">
        <v>67</v>
      </c>
    </row>
    <row r="12" spans="2:5" ht="13.5" thickBot="1">
      <c r="B12" s="22" t="s">
        <v>63</v>
      </c>
      <c r="C12" s="22" t="s">
        <v>64</v>
      </c>
      <c r="D12" s="22" t="s">
        <v>65</v>
      </c>
      <c r="E12" s="22" t="s">
        <v>66</v>
      </c>
    </row>
    <row r="13" spans="2:5" ht="12.75">
      <c r="B13" s="15" t="s">
        <v>76</v>
      </c>
      <c r="C13" s="15" t="s">
        <v>114</v>
      </c>
      <c r="D13" s="16">
        <v>10.48192872624872</v>
      </c>
      <c r="E13" s="16">
        <v>10.48192872624872</v>
      </c>
    </row>
    <row r="14" spans="2:5" ht="12.75">
      <c r="B14" s="15" t="s">
        <v>77</v>
      </c>
      <c r="C14" s="15" t="s">
        <v>78</v>
      </c>
      <c r="D14" s="16">
        <v>0</v>
      </c>
      <c r="E14" s="16">
        <v>0</v>
      </c>
    </row>
    <row r="15" spans="2:5" ht="12.75">
      <c r="B15" s="15" t="s">
        <v>115</v>
      </c>
      <c r="C15" s="15" t="s">
        <v>139</v>
      </c>
      <c r="D15" s="16">
        <v>17.7720564997153</v>
      </c>
      <c r="E15" s="16">
        <v>17.7720564997153</v>
      </c>
    </row>
    <row r="16" spans="2:5" ht="12.75">
      <c r="B16" s="15" t="s">
        <v>140</v>
      </c>
      <c r="C16" s="15" t="s">
        <v>82</v>
      </c>
      <c r="D16" s="16">
        <v>0</v>
      </c>
      <c r="E16" s="16">
        <v>0</v>
      </c>
    </row>
    <row r="17" spans="2:5" ht="12.75">
      <c r="B17" s="15" t="s">
        <v>81</v>
      </c>
      <c r="C17" s="15" t="s">
        <v>117</v>
      </c>
      <c r="D17" s="16">
        <v>15</v>
      </c>
      <c r="E17" s="16">
        <v>15</v>
      </c>
    </row>
    <row r="18" spans="2:5" ht="13.5" thickBot="1">
      <c r="B18" s="12" t="s">
        <v>116</v>
      </c>
      <c r="C18" s="12" t="s">
        <v>118</v>
      </c>
      <c r="D18" s="13">
        <v>14.899799945726597</v>
      </c>
      <c r="E18" s="13">
        <v>14.899799945726597</v>
      </c>
    </row>
    <row r="21" ht="13.5" thickBot="1">
      <c r="A21" t="s">
        <v>68</v>
      </c>
    </row>
    <row r="22" spans="2:7" ht="13.5" thickBot="1">
      <c r="B22" s="22" t="s">
        <v>63</v>
      </c>
      <c r="C22" s="22" t="s">
        <v>64</v>
      </c>
      <c r="D22" s="22" t="s">
        <v>69</v>
      </c>
      <c r="E22" s="22" t="s">
        <v>70</v>
      </c>
      <c r="F22" s="22" t="s">
        <v>71</v>
      </c>
      <c r="G22" s="22" t="s">
        <v>72</v>
      </c>
    </row>
    <row r="23" spans="2:7" ht="12.75">
      <c r="B23" s="15" t="s">
        <v>130</v>
      </c>
      <c r="C23" s="15" t="s">
        <v>141</v>
      </c>
      <c r="D23" s="16">
        <v>6.204488888888888</v>
      </c>
      <c r="E23" s="15" t="s">
        <v>132</v>
      </c>
      <c r="F23" s="15" t="s">
        <v>75</v>
      </c>
      <c r="G23" s="15">
        <v>3.7955111111111117</v>
      </c>
    </row>
    <row r="24" spans="2:7" ht="12.75">
      <c r="B24" s="15" t="s">
        <v>122</v>
      </c>
      <c r="C24" s="15" t="s">
        <v>136</v>
      </c>
      <c r="D24" s="17">
        <v>1.426288173000534</v>
      </c>
      <c r="E24" s="15" t="s">
        <v>133</v>
      </c>
      <c r="F24" s="15" t="s">
        <v>75</v>
      </c>
      <c r="G24" s="17">
        <v>1.426288173000534</v>
      </c>
    </row>
    <row r="25" spans="2:7" ht="12.75">
      <c r="B25" s="15" t="s">
        <v>119</v>
      </c>
      <c r="C25" s="15" t="s">
        <v>74</v>
      </c>
      <c r="D25" s="17">
        <v>0.13742697571694482</v>
      </c>
      <c r="E25" s="15" t="s">
        <v>120</v>
      </c>
      <c r="F25" s="15" t="s">
        <v>75</v>
      </c>
      <c r="G25" s="17">
        <v>0.13742697571694482</v>
      </c>
    </row>
    <row r="26" spans="2:7" ht="12.75">
      <c r="B26" s="15" t="s">
        <v>146</v>
      </c>
      <c r="C26" s="15" t="s">
        <v>147</v>
      </c>
      <c r="D26" s="17">
        <v>0.15399078922807719</v>
      </c>
      <c r="E26" s="15" t="s">
        <v>149</v>
      </c>
      <c r="F26" s="15" t="s">
        <v>75</v>
      </c>
      <c r="G26" s="15">
        <v>0.006009210771922818</v>
      </c>
    </row>
    <row r="27" spans="2:7" ht="12.75">
      <c r="B27" s="15" t="s">
        <v>142</v>
      </c>
      <c r="C27" s="15" t="s">
        <v>123</v>
      </c>
      <c r="D27" s="16">
        <v>10.921553360217596</v>
      </c>
      <c r="E27" s="15" t="s">
        <v>143</v>
      </c>
      <c r="F27" s="15" t="s">
        <v>75</v>
      </c>
      <c r="G27" s="15">
        <v>44.97675167808352</v>
      </c>
    </row>
    <row r="28" spans="2:7" ht="12.75">
      <c r="B28" s="15" t="s">
        <v>124</v>
      </c>
      <c r="C28" s="15" t="s">
        <v>73</v>
      </c>
      <c r="D28" s="16">
        <v>60.20000099999967</v>
      </c>
      <c r="E28" s="15" t="s">
        <v>125</v>
      </c>
      <c r="F28" s="15" t="s">
        <v>84</v>
      </c>
      <c r="G28" s="15">
        <v>0</v>
      </c>
    </row>
    <row r="29" spans="2:7" ht="12.75">
      <c r="B29" s="15" t="s">
        <v>126</v>
      </c>
      <c r="C29" s="15" t="s">
        <v>83</v>
      </c>
      <c r="D29" s="16">
        <v>95.12440550949105</v>
      </c>
      <c r="E29" s="15" t="s">
        <v>127</v>
      </c>
      <c r="F29" s="15" t="s">
        <v>75</v>
      </c>
      <c r="G29" s="15">
        <v>4.875594490508945</v>
      </c>
    </row>
    <row r="30" spans="2:7" ht="12.75">
      <c r="B30" s="15" t="s">
        <v>130</v>
      </c>
      <c r="C30" s="15" t="s">
        <v>141</v>
      </c>
      <c r="D30" s="16">
        <v>6.204488888888888</v>
      </c>
      <c r="E30" s="15" t="s">
        <v>131</v>
      </c>
      <c r="F30" s="15" t="s">
        <v>75</v>
      </c>
      <c r="G30" s="16">
        <v>6.204488888888888</v>
      </c>
    </row>
    <row r="31" spans="2:7" ht="12.75">
      <c r="B31" s="15" t="s">
        <v>121</v>
      </c>
      <c r="C31" s="15" t="s">
        <v>80</v>
      </c>
      <c r="D31" s="16">
        <v>199.99999902442434</v>
      </c>
      <c r="E31" s="15" t="s">
        <v>150</v>
      </c>
      <c r="F31" s="15" t="s">
        <v>84</v>
      </c>
      <c r="G31" s="15">
        <v>0</v>
      </c>
    </row>
    <row r="32" spans="2:7" ht="12.75">
      <c r="B32" s="15" t="s">
        <v>81</v>
      </c>
      <c r="C32" s="15" t="s">
        <v>117</v>
      </c>
      <c r="D32" s="16">
        <v>15</v>
      </c>
      <c r="E32" s="15" t="s">
        <v>87</v>
      </c>
      <c r="F32" s="15" t="s">
        <v>75</v>
      </c>
      <c r="G32" s="16">
        <v>15</v>
      </c>
    </row>
    <row r="33" spans="2:7" ht="12.75">
      <c r="B33" s="15" t="s">
        <v>115</v>
      </c>
      <c r="C33" s="15" t="s">
        <v>139</v>
      </c>
      <c r="D33" s="16">
        <v>17.7720564997153</v>
      </c>
      <c r="E33" s="15" t="s">
        <v>128</v>
      </c>
      <c r="F33" s="15" t="s">
        <v>75</v>
      </c>
      <c r="G33" s="16">
        <v>17.7720564997153</v>
      </c>
    </row>
    <row r="34" spans="2:7" ht="12.75">
      <c r="B34" s="15" t="s">
        <v>76</v>
      </c>
      <c r="C34" s="15" t="s">
        <v>114</v>
      </c>
      <c r="D34" s="16">
        <v>10.48192872624872</v>
      </c>
      <c r="E34" s="15" t="s">
        <v>85</v>
      </c>
      <c r="F34" s="15" t="s">
        <v>75</v>
      </c>
      <c r="G34" s="16">
        <v>10.48192872624872</v>
      </c>
    </row>
    <row r="35" spans="2:7" ht="12.75">
      <c r="B35" s="15" t="s">
        <v>77</v>
      </c>
      <c r="C35" s="15" t="s">
        <v>78</v>
      </c>
      <c r="D35" s="16">
        <v>0</v>
      </c>
      <c r="E35" s="15" t="s">
        <v>86</v>
      </c>
      <c r="F35" s="15" t="s">
        <v>84</v>
      </c>
      <c r="G35" s="16">
        <v>0</v>
      </c>
    </row>
    <row r="36" spans="2:7" ht="12.75">
      <c r="B36" s="15" t="s">
        <v>140</v>
      </c>
      <c r="C36" s="15" t="s">
        <v>82</v>
      </c>
      <c r="D36" s="16">
        <v>0</v>
      </c>
      <c r="E36" s="15" t="s">
        <v>144</v>
      </c>
      <c r="F36" s="15" t="s">
        <v>84</v>
      </c>
      <c r="G36" s="16">
        <v>0</v>
      </c>
    </row>
    <row r="37" spans="2:7" ht="12.75">
      <c r="B37" s="15" t="s">
        <v>116</v>
      </c>
      <c r="C37" s="15" t="s">
        <v>118</v>
      </c>
      <c r="D37" s="16">
        <v>14.899799945726597</v>
      </c>
      <c r="E37" s="15" t="s">
        <v>129</v>
      </c>
      <c r="F37" s="15" t="s">
        <v>75</v>
      </c>
      <c r="G37" s="16">
        <v>14.899799945726597</v>
      </c>
    </row>
    <row r="38" spans="2:7" ht="13.5" thickBot="1">
      <c r="B38" s="12" t="s">
        <v>81</v>
      </c>
      <c r="C38" s="12" t="s">
        <v>117</v>
      </c>
      <c r="D38" s="13">
        <v>15</v>
      </c>
      <c r="E38" s="12" t="s">
        <v>145</v>
      </c>
      <c r="F38" s="12" t="s">
        <v>75</v>
      </c>
      <c r="G38" s="12">
        <v>5</v>
      </c>
    </row>
  </sheetData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34.00390625" style="0" bestFit="1" customWidth="1"/>
    <col min="4" max="4" width="5.7109375" style="0" customWidth="1"/>
    <col min="5" max="5" width="9.28125" style="0" customWidth="1"/>
  </cols>
  <sheetData>
    <row r="1" ht="12.75">
      <c r="A1" s="1" t="s">
        <v>88</v>
      </c>
    </row>
    <row r="2" ht="12.75">
      <c r="A2" s="1" t="s">
        <v>138</v>
      </c>
    </row>
    <row r="3" ht="12.75">
      <c r="A3" s="1" t="s">
        <v>151</v>
      </c>
    </row>
    <row r="6" ht="13.5" thickBot="1">
      <c r="A6" t="s">
        <v>67</v>
      </c>
    </row>
    <row r="7" spans="2:5" ht="12.75">
      <c r="B7" s="20"/>
      <c r="C7" s="20"/>
      <c r="D7" s="20" t="s">
        <v>89</v>
      </c>
      <c r="E7" s="20" t="s">
        <v>91</v>
      </c>
    </row>
    <row r="8" spans="2:5" ht="13.5" thickBot="1">
      <c r="B8" s="21" t="s">
        <v>63</v>
      </c>
      <c r="C8" s="21" t="s">
        <v>64</v>
      </c>
      <c r="D8" s="21" t="s">
        <v>90</v>
      </c>
      <c r="E8" s="21" t="s">
        <v>92</v>
      </c>
    </row>
    <row r="9" spans="2:5" ht="12.75">
      <c r="B9" s="15" t="s">
        <v>76</v>
      </c>
      <c r="C9" s="15" t="s">
        <v>114</v>
      </c>
      <c r="D9" s="16">
        <v>10.48192872624872</v>
      </c>
      <c r="E9" s="16">
        <v>0</v>
      </c>
    </row>
    <row r="10" spans="2:5" ht="12.75">
      <c r="B10" s="15" t="s">
        <v>77</v>
      </c>
      <c r="C10" s="15" t="s">
        <v>78</v>
      </c>
      <c r="D10" s="16">
        <v>0</v>
      </c>
      <c r="E10" s="16">
        <v>0</v>
      </c>
    </row>
    <row r="11" spans="2:5" ht="12.75">
      <c r="B11" s="15" t="s">
        <v>115</v>
      </c>
      <c r="C11" s="15" t="s">
        <v>139</v>
      </c>
      <c r="D11" s="16">
        <v>17.7720564997153</v>
      </c>
      <c r="E11" s="16">
        <v>0</v>
      </c>
    </row>
    <row r="12" spans="2:5" ht="12.75">
      <c r="B12" s="15" t="s">
        <v>140</v>
      </c>
      <c r="C12" s="15" t="s">
        <v>82</v>
      </c>
      <c r="D12" s="16">
        <v>0</v>
      </c>
      <c r="E12" s="16">
        <v>0.02314150519669056</v>
      </c>
    </row>
    <row r="13" spans="2:5" ht="12.75">
      <c r="B13" s="15" t="s">
        <v>81</v>
      </c>
      <c r="C13" s="15" t="s">
        <v>117</v>
      </c>
      <c r="D13" s="16">
        <v>15</v>
      </c>
      <c r="E13" s="16">
        <v>0</v>
      </c>
    </row>
    <row r="14" spans="2:5" ht="13.5" thickBot="1">
      <c r="B14" s="12" t="s">
        <v>116</v>
      </c>
      <c r="C14" s="12" t="s">
        <v>118</v>
      </c>
      <c r="D14" s="13">
        <v>14.899799945726597</v>
      </c>
      <c r="E14" s="13">
        <v>0</v>
      </c>
    </row>
    <row r="16" ht="13.5" thickBot="1">
      <c r="A16" t="s">
        <v>68</v>
      </c>
    </row>
    <row r="17" spans="2:5" ht="12.75">
      <c r="B17" s="20"/>
      <c r="C17" s="20"/>
      <c r="D17" s="20" t="s">
        <v>89</v>
      </c>
      <c r="E17" s="20" t="s">
        <v>93</v>
      </c>
    </row>
    <row r="18" spans="2:5" ht="13.5" thickBot="1">
      <c r="B18" s="21" t="s">
        <v>63</v>
      </c>
      <c r="C18" s="21" t="s">
        <v>64</v>
      </c>
      <c r="D18" s="21" t="s">
        <v>90</v>
      </c>
      <c r="E18" s="21" t="s">
        <v>94</v>
      </c>
    </row>
    <row r="19" spans="2:5" ht="12.75">
      <c r="B19" s="15" t="s">
        <v>130</v>
      </c>
      <c r="C19" s="15" t="s">
        <v>141</v>
      </c>
      <c r="D19" s="16">
        <v>6.204488888888888</v>
      </c>
      <c r="E19" s="16">
        <v>0</v>
      </c>
    </row>
    <row r="20" spans="2:5" ht="12.75">
      <c r="B20" s="15" t="s">
        <v>122</v>
      </c>
      <c r="C20" s="15" t="s">
        <v>136</v>
      </c>
      <c r="D20" s="17">
        <v>1.426288173000534</v>
      </c>
      <c r="E20" s="17">
        <v>0</v>
      </c>
    </row>
    <row r="21" spans="2:5" ht="12.75">
      <c r="B21" s="15" t="s">
        <v>119</v>
      </c>
      <c r="C21" s="15" t="s">
        <v>74</v>
      </c>
      <c r="D21" s="17">
        <v>0.13742697571694482</v>
      </c>
      <c r="E21" s="17">
        <v>0</v>
      </c>
    </row>
    <row r="22" spans="2:5" ht="12.75">
      <c r="B22" s="15" t="s">
        <v>146</v>
      </c>
      <c r="C22" s="15" t="s">
        <v>147</v>
      </c>
      <c r="D22" s="17">
        <v>0.15399078922807719</v>
      </c>
      <c r="E22" s="17">
        <v>0</v>
      </c>
    </row>
    <row r="23" spans="2:5" ht="12.75">
      <c r="B23" s="15" t="s">
        <v>142</v>
      </c>
      <c r="C23" s="15" t="s">
        <v>123</v>
      </c>
      <c r="D23" s="16">
        <v>10.921553360217596</v>
      </c>
      <c r="E23" s="16">
        <v>0</v>
      </c>
    </row>
    <row r="24" spans="2:5" ht="12.75">
      <c r="B24" s="15" t="s">
        <v>124</v>
      </c>
      <c r="C24" s="15" t="s">
        <v>73</v>
      </c>
      <c r="D24" s="16">
        <v>60.20000099999967</v>
      </c>
      <c r="E24" s="16">
        <v>0</v>
      </c>
    </row>
    <row r="25" spans="2:5" ht="12.75">
      <c r="B25" s="15" t="s">
        <v>126</v>
      </c>
      <c r="C25" s="15" t="s">
        <v>83</v>
      </c>
      <c r="D25" s="16">
        <v>95.12440550949105</v>
      </c>
      <c r="E25" s="16">
        <v>0</v>
      </c>
    </row>
    <row r="26" spans="2:5" ht="12.75">
      <c r="B26" s="15" t="s">
        <v>130</v>
      </c>
      <c r="C26" s="15" t="s">
        <v>141</v>
      </c>
      <c r="D26" s="16">
        <v>6.204488888888888</v>
      </c>
      <c r="E26" s="16">
        <v>0</v>
      </c>
    </row>
    <row r="27" spans="2:5" ht="13.5" thickBot="1">
      <c r="B27" s="12" t="s">
        <v>121</v>
      </c>
      <c r="C27" s="12" t="s">
        <v>80</v>
      </c>
      <c r="D27" s="13">
        <v>199.99999902442434</v>
      </c>
      <c r="E27" s="1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34.00390625" style="0" bestFit="1" customWidth="1"/>
    <col min="4" max="4" width="5.7109375" style="0" customWidth="1"/>
    <col min="5" max="5" width="2.28125" style="0" customWidth="1"/>
    <col min="6" max="6" width="6.421875" style="0" customWidth="1"/>
    <col min="7" max="7" width="6.7109375" style="0" customWidth="1"/>
    <col min="8" max="8" width="2.28125" style="0" customWidth="1"/>
    <col min="9" max="9" width="6.28125" style="0" customWidth="1"/>
    <col min="10" max="10" width="6.7109375" style="0" customWidth="1"/>
  </cols>
  <sheetData>
    <row r="1" ht="12.75">
      <c r="A1" s="1" t="s">
        <v>95</v>
      </c>
    </row>
    <row r="2" ht="12.75">
      <c r="A2" s="1" t="s">
        <v>138</v>
      </c>
    </row>
    <row r="3" ht="12.75">
      <c r="A3" s="1" t="s">
        <v>151</v>
      </c>
    </row>
    <row r="5" ht="13.5" thickBot="1"/>
    <row r="6" spans="2:4" ht="12.75">
      <c r="B6" s="20"/>
      <c r="C6" s="20" t="s">
        <v>96</v>
      </c>
      <c r="D6" s="20"/>
    </row>
    <row r="7" spans="2:4" ht="13.5" thickBot="1">
      <c r="B7" s="21" t="s">
        <v>63</v>
      </c>
      <c r="C7" s="21" t="s">
        <v>64</v>
      </c>
      <c r="D7" s="21" t="s">
        <v>90</v>
      </c>
    </row>
    <row r="8" spans="2:4" ht="13.5" thickBot="1">
      <c r="B8" s="12" t="s">
        <v>119</v>
      </c>
      <c r="C8" s="12" t="s">
        <v>74</v>
      </c>
      <c r="D8" s="14">
        <v>0.13742697571694482</v>
      </c>
    </row>
    <row r="10" ht="13.5" thickBot="1"/>
    <row r="11" spans="2:10" ht="12.75">
      <c r="B11" s="20"/>
      <c r="C11" s="20" t="s">
        <v>97</v>
      </c>
      <c r="D11" s="20"/>
      <c r="F11" s="20" t="s">
        <v>98</v>
      </c>
      <c r="G11" s="20" t="s">
        <v>96</v>
      </c>
      <c r="I11" s="20" t="s">
        <v>101</v>
      </c>
      <c r="J11" s="20" t="s">
        <v>96</v>
      </c>
    </row>
    <row r="12" spans="2:10" ht="13.5" thickBot="1">
      <c r="B12" s="21" t="s">
        <v>63</v>
      </c>
      <c r="C12" s="21" t="s">
        <v>64</v>
      </c>
      <c r="D12" s="21" t="s">
        <v>90</v>
      </c>
      <c r="F12" s="21" t="s">
        <v>99</v>
      </c>
      <c r="G12" s="21" t="s">
        <v>100</v>
      </c>
      <c r="I12" s="21" t="s">
        <v>99</v>
      </c>
      <c r="J12" s="21" t="s">
        <v>100</v>
      </c>
    </row>
    <row r="13" spans="2:10" ht="12.75">
      <c r="B13" s="15" t="s">
        <v>76</v>
      </c>
      <c r="C13" s="15" t="s">
        <v>114</v>
      </c>
      <c r="D13" s="16">
        <v>10.48192872624872</v>
      </c>
      <c r="F13" s="16">
        <v>10.48192872624872</v>
      </c>
      <c r="G13" s="16">
        <v>0.13742697571694482</v>
      </c>
      <c r="I13" s="16">
        <v>10.48192872624872</v>
      </c>
      <c r="J13" s="16">
        <v>0.13742697571694482</v>
      </c>
    </row>
    <row r="14" spans="2:10" ht="12.75">
      <c r="B14" s="15" t="s">
        <v>77</v>
      </c>
      <c r="C14" s="15" t="s">
        <v>78</v>
      </c>
      <c r="D14" s="16">
        <v>0</v>
      </c>
      <c r="F14" s="16">
        <v>0</v>
      </c>
      <c r="G14" s="16">
        <v>0.13742697571694482</v>
      </c>
      <c r="I14" s="16">
        <v>0</v>
      </c>
      <c r="J14" s="16">
        <v>0.13742697571694482</v>
      </c>
    </row>
    <row r="15" spans="2:10" ht="12.75">
      <c r="B15" s="15" t="s">
        <v>115</v>
      </c>
      <c r="C15" s="15" t="s">
        <v>139</v>
      </c>
      <c r="D15" s="16">
        <v>17.7720564997153</v>
      </c>
      <c r="F15" s="16">
        <v>17.7720564997153</v>
      </c>
      <c r="G15" s="16">
        <v>0.13742697571694482</v>
      </c>
      <c r="I15" s="16">
        <v>90.88929340041466</v>
      </c>
      <c r="J15" s="16">
        <v>0.7028247247170945</v>
      </c>
    </row>
    <row r="16" spans="2:10" ht="12.75">
      <c r="B16" s="15" t="s">
        <v>140</v>
      </c>
      <c r="C16" s="15" t="s">
        <v>82</v>
      </c>
      <c r="D16" s="16">
        <v>0</v>
      </c>
      <c r="F16" s="16">
        <v>0</v>
      </c>
      <c r="G16" s="16">
        <v>0.13742697571694482</v>
      </c>
      <c r="I16" s="16">
        <v>52.45138945530801</v>
      </c>
      <c r="J16" s="16">
        <v>1.3512311026644879</v>
      </c>
    </row>
    <row r="17" spans="2:10" ht="12.75">
      <c r="B17" s="15" t="s">
        <v>81</v>
      </c>
      <c r="C17" s="15" t="s">
        <v>117</v>
      </c>
      <c r="D17" s="16">
        <v>15</v>
      </c>
      <c r="F17" s="16">
        <v>15</v>
      </c>
      <c r="G17" s="16">
        <v>0.13742697571694482</v>
      </c>
      <c r="I17" s="16">
        <v>20</v>
      </c>
      <c r="J17" s="16">
        <v>0.13742697571694482</v>
      </c>
    </row>
    <row r="18" spans="2:10" ht="13.5" thickBot="1">
      <c r="B18" s="12" t="s">
        <v>116</v>
      </c>
      <c r="C18" s="12" t="s">
        <v>118</v>
      </c>
      <c r="D18" s="13">
        <v>14.899799945726597</v>
      </c>
      <c r="F18" s="13">
        <v>14.899799945726597</v>
      </c>
      <c r="G18" s="13">
        <v>0.13742697571694482</v>
      </c>
      <c r="I18" s="13">
        <v>14.899799945726597</v>
      </c>
      <c r="J18" s="13">
        <v>0.13742697571694482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pane xSplit="3888" ySplit="1068" topLeftCell="B53" activePane="topLeft" state="split"/>
      <selection pane="topLeft" activeCell="A2" sqref="A2"/>
      <selection pane="topRight" activeCell="B47" sqref="B47"/>
      <selection pane="bottomLeft" activeCell="A55" sqref="A55"/>
      <selection pane="bottomRight" activeCell="F81" sqref="F81"/>
    </sheetView>
  </sheetViews>
  <sheetFormatPr defaultColWidth="9.140625" defaultRowHeight="12.75"/>
  <cols>
    <col min="1" max="1" width="32.28125" style="0" customWidth="1"/>
    <col min="4" max="4" width="8.00390625" style="8" customWidth="1"/>
    <col min="6" max="6" width="10.28125" style="0" customWidth="1"/>
    <col min="7" max="7" width="9.00390625" style="0" customWidth="1"/>
    <col min="8" max="8" width="10.421875" style="0" customWidth="1"/>
    <col min="9" max="10" width="10.7109375" style="0" customWidth="1"/>
    <col min="11" max="11" width="9.57421875" style="0" customWidth="1"/>
    <col min="12" max="12" width="7.421875" style="0" customWidth="1"/>
  </cols>
  <sheetData>
    <row r="1" ht="12.75">
      <c r="A1" s="1" t="s">
        <v>174</v>
      </c>
    </row>
    <row r="2" ht="12.75">
      <c r="A2" t="s">
        <v>0</v>
      </c>
    </row>
    <row r="3" ht="12.75"/>
    <row r="4" spans="2:12" ht="12.75">
      <c r="B4" t="s">
        <v>2</v>
      </c>
      <c r="C4" t="s">
        <v>46</v>
      </c>
      <c r="D4" s="8" t="s">
        <v>53</v>
      </c>
      <c r="E4" t="s">
        <v>49</v>
      </c>
      <c r="F4" t="s">
        <v>10</v>
      </c>
      <c r="G4" t="s">
        <v>4</v>
      </c>
      <c r="H4" t="s">
        <v>48</v>
      </c>
      <c r="I4" t="s">
        <v>34</v>
      </c>
      <c r="J4" t="s">
        <v>33</v>
      </c>
      <c r="K4" t="s">
        <v>41</v>
      </c>
      <c r="L4" t="s">
        <v>43</v>
      </c>
    </row>
    <row r="5" spans="1:12" ht="12.75">
      <c r="A5" s="1" t="s">
        <v>1</v>
      </c>
      <c r="B5" t="s">
        <v>3</v>
      </c>
      <c r="C5" t="s">
        <v>3</v>
      </c>
      <c r="E5" t="s">
        <v>3</v>
      </c>
      <c r="F5" t="s">
        <v>3</v>
      </c>
      <c r="G5" t="s">
        <v>3</v>
      </c>
      <c r="H5" t="s">
        <v>3</v>
      </c>
      <c r="I5" t="s">
        <v>3</v>
      </c>
      <c r="J5" t="s">
        <v>3</v>
      </c>
      <c r="K5" t="s">
        <v>42</v>
      </c>
      <c r="L5" t="s">
        <v>45</v>
      </c>
    </row>
    <row r="6" spans="1:10" ht="12.75">
      <c r="A6" t="s">
        <v>5</v>
      </c>
      <c r="B6">
        <v>1.2</v>
      </c>
      <c r="C6">
        <f>B6</f>
        <v>1.2</v>
      </c>
      <c r="D6" s="8">
        <v>1</v>
      </c>
      <c r="G6">
        <f>0.76*D6</f>
        <v>0.76</v>
      </c>
      <c r="J6">
        <f>C6*D6-G6</f>
        <v>0.43999999999999995</v>
      </c>
    </row>
    <row r="7" spans="1:10" ht="12.75">
      <c r="A7" t="s">
        <v>6</v>
      </c>
      <c r="B7">
        <v>41.45</v>
      </c>
      <c r="C7">
        <f>B7</f>
        <v>41.45</v>
      </c>
      <c r="D7" s="8">
        <v>1</v>
      </c>
      <c r="J7">
        <f>C7*D7</f>
        <v>41.45</v>
      </c>
    </row>
    <row r="8" spans="1:10" ht="12.75">
      <c r="A8" t="s">
        <v>7</v>
      </c>
      <c r="B8">
        <v>0.8</v>
      </c>
      <c r="C8">
        <f>B8</f>
        <v>0.8</v>
      </c>
      <c r="D8" s="8">
        <v>1</v>
      </c>
      <c r="J8">
        <f>C8*D8</f>
        <v>0.8</v>
      </c>
    </row>
    <row r="9" spans="1:10" ht="12.75">
      <c r="A9" t="s">
        <v>8</v>
      </c>
      <c r="B9">
        <v>11.4</v>
      </c>
      <c r="C9">
        <f>B9</f>
        <v>11.4</v>
      </c>
      <c r="D9" s="8">
        <v>1</v>
      </c>
      <c r="J9">
        <f>C9*D9</f>
        <v>11.4</v>
      </c>
    </row>
    <row r="10" spans="1:4" ht="12.75">
      <c r="A10" s="2" t="s">
        <v>9</v>
      </c>
      <c r="B10" s="2">
        <f>SUM(B6:B9)</f>
        <v>54.85</v>
      </c>
      <c r="C10" s="2">
        <f>B10</f>
        <v>54.85</v>
      </c>
      <c r="D10" s="9"/>
    </row>
    <row r="11" ht="12.75"/>
    <row r="12" ht="12.75">
      <c r="A12" s="1" t="s">
        <v>11</v>
      </c>
    </row>
    <row r="13" spans="1:10" ht="12.75">
      <c r="A13" t="s">
        <v>12</v>
      </c>
      <c r="B13">
        <v>27.4</v>
      </c>
      <c r="C13" s="5">
        <f>B13*1.036</f>
        <v>28.3864</v>
      </c>
      <c r="D13" s="8">
        <v>1</v>
      </c>
      <c r="E13" s="5">
        <f>C13*D13*0.786</f>
        <v>22.3117104</v>
      </c>
      <c r="F13" s="5">
        <f>E13*0.65</f>
        <v>14.50261176</v>
      </c>
      <c r="G13" s="5">
        <f>C13*D13*0.077</f>
        <v>2.1857528</v>
      </c>
      <c r="H13" s="5"/>
      <c r="I13" s="5">
        <f>C13*D13-E13-G13</f>
        <v>3.8889367999999993</v>
      </c>
      <c r="J13" s="5"/>
    </row>
    <row r="14" spans="1:10" ht="12.75">
      <c r="A14" t="s">
        <v>13</v>
      </c>
      <c r="B14">
        <v>11.1</v>
      </c>
      <c r="C14" s="5">
        <f>B14*1.036</f>
        <v>11.4996</v>
      </c>
      <c r="D14" s="8">
        <v>1</v>
      </c>
      <c r="E14" s="5">
        <f>C14*D14*0.786</f>
        <v>9.038685599999999</v>
      </c>
      <c r="F14" s="5">
        <f>E14*0.65</f>
        <v>5.8751456399999995</v>
      </c>
      <c r="G14" s="5">
        <f>C14*D14*0.077</f>
        <v>0.8854692</v>
      </c>
      <c r="H14" s="5"/>
      <c r="I14" s="5">
        <f>C14*D14-E14-G14</f>
        <v>1.5754452</v>
      </c>
      <c r="J14" s="5"/>
    </row>
    <row r="15" spans="1:10" ht="12.75">
      <c r="A15" t="s">
        <v>14</v>
      </c>
      <c r="B15">
        <v>6.1</v>
      </c>
      <c r="C15" s="5">
        <f>B15*1.036</f>
        <v>6.319599999999999</v>
      </c>
      <c r="D15" s="8">
        <v>1</v>
      </c>
      <c r="E15" s="5"/>
      <c r="F15" s="5"/>
      <c r="G15" s="5">
        <f>C15*D15</f>
        <v>6.319599999999999</v>
      </c>
      <c r="H15" s="5"/>
      <c r="I15" s="5"/>
      <c r="J15" s="5"/>
    </row>
    <row r="16" spans="1:10" ht="12.75">
      <c r="A16" t="s">
        <v>15</v>
      </c>
      <c r="B16">
        <v>2.3</v>
      </c>
      <c r="C16" s="5">
        <f>B16*1.036</f>
        <v>2.3828</v>
      </c>
      <c r="D16" s="8">
        <v>1</v>
      </c>
      <c r="E16" s="5"/>
      <c r="F16" s="5"/>
      <c r="G16" s="5">
        <f>C16*D16</f>
        <v>2.3828</v>
      </c>
      <c r="H16" s="5"/>
      <c r="I16" s="5"/>
      <c r="J16" s="5"/>
    </row>
    <row r="17" spans="1:10" ht="12.75">
      <c r="A17" s="2" t="s">
        <v>9</v>
      </c>
      <c r="B17" s="2">
        <f>SUM(B13:B16)</f>
        <v>46.9</v>
      </c>
      <c r="C17" s="6">
        <f>B17*1.036</f>
        <v>48.5884</v>
      </c>
      <c r="D17" s="9"/>
      <c r="E17" s="5"/>
      <c r="F17" s="5"/>
      <c r="G17" s="5"/>
      <c r="H17" s="5"/>
      <c r="I17" s="5"/>
      <c r="J17" s="5"/>
    </row>
    <row r="18" spans="3:10" ht="12.75">
      <c r="C18" s="5"/>
      <c r="E18" s="5"/>
      <c r="F18" s="5"/>
      <c r="G18" s="5"/>
      <c r="H18" s="5"/>
      <c r="I18" s="5"/>
      <c r="J18" s="5"/>
    </row>
    <row r="19" spans="1:10" ht="12.75">
      <c r="A19" s="1" t="s">
        <v>16</v>
      </c>
      <c r="C19" s="5"/>
      <c r="E19" s="5"/>
      <c r="F19" s="5"/>
      <c r="G19" s="5"/>
      <c r="H19" s="5"/>
      <c r="I19" s="5"/>
      <c r="J19" s="5"/>
    </row>
    <row r="20" spans="1:10" ht="12.75">
      <c r="A20" t="s">
        <v>17</v>
      </c>
      <c r="B20">
        <v>6.9</v>
      </c>
      <c r="C20" s="5">
        <f>B20*1.245</f>
        <v>8.5905</v>
      </c>
      <c r="D20" s="8">
        <v>1</v>
      </c>
      <c r="E20" s="5"/>
      <c r="F20" s="5"/>
      <c r="G20" s="5"/>
      <c r="H20" s="5">
        <f>C20*D20</f>
        <v>8.5905</v>
      </c>
      <c r="J20" s="5"/>
    </row>
    <row r="21" spans="1:10" ht="12.75">
      <c r="A21" t="s">
        <v>18</v>
      </c>
      <c r="B21">
        <v>8.69</v>
      </c>
      <c r="C21" s="5">
        <f aca="true" t="shared" si="0" ref="C21:C29">B21*1.245</f>
        <v>10.81905</v>
      </c>
      <c r="D21" s="8">
        <v>1</v>
      </c>
      <c r="E21" s="5">
        <f>C21*D21</f>
        <v>10.81905</v>
      </c>
      <c r="F21" s="5">
        <f>E21*0.8</f>
        <v>8.655240000000001</v>
      </c>
      <c r="G21" s="5"/>
      <c r="H21" s="5"/>
      <c r="I21" s="5"/>
      <c r="J21" s="5"/>
    </row>
    <row r="22" spans="1:10" ht="12.75">
      <c r="A22" t="s">
        <v>19</v>
      </c>
      <c r="B22">
        <v>3.1</v>
      </c>
      <c r="C22" s="5">
        <f t="shared" si="0"/>
        <v>3.8595000000000006</v>
      </c>
      <c r="D22" s="8">
        <v>1</v>
      </c>
      <c r="E22" s="5">
        <f>C22*D22/2</f>
        <v>1.9297500000000003</v>
      </c>
      <c r="F22" s="5">
        <f>E22*0.8</f>
        <v>1.5438000000000003</v>
      </c>
      <c r="G22" s="5"/>
      <c r="H22" s="5">
        <f>C22*D22-E22</f>
        <v>1.9297500000000003</v>
      </c>
      <c r="J22" s="5"/>
    </row>
    <row r="23" spans="1:10" ht="12.75">
      <c r="A23" t="s">
        <v>12</v>
      </c>
      <c r="B23">
        <v>2.84</v>
      </c>
      <c r="C23" s="5">
        <f t="shared" si="0"/>
        <v>3.5358</v>
      </c>
      <c r="D23" s="8">
        <v>1</v>
      </c>
      <c r="E23" s="5">
        <f>C23*D23</f>
        <v>3.5358</v>
      </c>
      <c r="F23" s="5">
        <f>E23*0.8</f>
        <v>2.82864</v>
      </c>
      <c r="G23" s="5"/>
      <c r="H23" s="5"/>
      <c r="I23" s="5"/>
      <c r="J23" s="5"/>
    </row>
    <row r="24" spans="1:10" ht="12.75">
      <c r="A24" t="s">
        <v>20</v>
      </c>
      <c r="B24">
        <v>2.15</v>
      </c>
      <c r="C24" s="5">
        <f t="shared" si="0"/>
        <v>2.67675</v>
      </c>
      <c r="D24" s="8">
        <v>1</v>
      </c>
      <c r="E24" s="5"/>
      <c r="F24" s="5"/>
      <c r="G24" s="5">
        <f>C24*D24</f>
        <v>2.67675</v>
      </c>
      <c r="H24" s="5"/>
      <c r="I24" s="5"/>
      <c r="J24" s="5"/>
    </row>
    <row r="25" spans="1:10" ht="12.75">
      <c r="A25" t="s">
        <v>21</v>
      </c>
      <c r="B25">
        <v>0.88</v>
      </c>
      <c r="C25" s="5">
        <f t="shared" si="0"/>
        <v>1.0956000000000001</v>
      </c>
      <c r="D25" s="8">
        <v>1</v>
      </c>
      <c r="E25" s="5"/>
      <c r="F25" s="5"/>
      <c r="G25" s="5">
        <f>C25*D25</f>
        <v>1.0956000000000001</v>
      </c>
      <c r="H25" s="5"/>
      <c r="I25" s="5"/>
      <c r="J25" s="5"/>
    </row>
    <row r="26" spans="1:10" ht="12.75">
      <c r="A26" t="s">
        <v>22</v>
      </c>
      <c r="B26">
        <v>0.24</v>
      </c>
      <c r="C26" s="5">
        <f t="shared" si="0"/>
        <v>0.2988</v>
      </c>
      <c r="D26" s="8">
        <v>1</v>
      </c>
      <c r="E26" s="5"/>
      <c r="F26" s="5"/>
      <c r="G26" s="5">
        <f>C26*D26</f>
        <v>0.2988</v>
      </c>
      <c r="H26" s="5"/>
      <c r="I26" s="5"/>
      <c r="J26" s="5"/>
    </row>
    <row r="27" spans="1:10" ht="12.75">
      <c r="A27" t="s">
        <v>23</v>
      </c>
      <c r="B27">
        <v>0.58</v>
      </c>
      <c r="C27" s="5">
        <f t="shared" si="0"/>
        <v>0.7221</v>
      </c>
      <c r="D27" s="8">
        <v>1</v>
      </c>
      <c r="E27" s="5"/>
      <c r="F27" s="5"/>
      <c r="G27" s="5">
        <f>C27*D27</f>
        <v>0.7221</v>
      </c>
      <c r="H27" s="5"/>
      <c r="I27" s="5"/>
      <c r="J27" s="5"/>
    </row>
    <row r="28" spans="1:10" ht="12.75">
      <c r="A28" t="s">
        <v>24</v>
      </c>
      <c r="B28">
        <v>2.78</v>
      </c>
      <c r="C28" s="5">
        <f t="shared" si="0"/>
        <v>3.4611</v>
      </c>
      <c r="D28" s="8">
        <v>1</v>
      </c>
      <c r="E28" s="5"/>
      <c r="F28" s="5"/>
      <c r="G28" s="5"/>
      <c r="H28" s="5">
        <f>C28*D28</f>
        <v>3.4611</v>
      </c>
      <c r="J28" s="5"/>
    </row>
    <row r="29" spans="1:10" ht="12.75">
      <c r="A29" s="2" t="s">
        <v>9</v>
      </c>
      <c r="B29" s="2">
        <f>SUM(B20:B28)</f>
        <v>28.159999999999997</v>
      </c>
      <c r="C29" s="6">
        <f t="shared" si="0"/>
        <v>35.0592</v>
      </c>
      <c r="D29" s="9"/>
      <c r="E29" s="5"/>
      <c r="F29" s="5"/>
      <c r="G29" s="5"/>
      <c r="H29" s="5"/>
      <c r="I29" s="5"/>
      <c r="J29" s="5"/>
    </row>
    <row r="30" spans="3:10" ht="12.75">
      <c r="C30" s="5"/>
      <c r="E30" s="5"/>
      <c r="F30" s="5"/>
      <c r="G30" s="5"/>
      <c r="H30" s="5"/>
      <c r="I30" s="5"/>
      <c r="J30" s="5"/>
    </row>
    <row r="31" spans="1:10" ht="12.75">
      <c r="A31" s="1" t="s">
        <v>25</v>
      </c>
      <c r="C31" s="5"/>
      <c r="E31" s="5"/>
      <c r="F31" s="5"/>
      <c r="G31" s="5"/>
      <c r="H31" s="5"/>
      <c r="I31" s="5"/>
      <c r="J31" s="5"/>
    </row>
    <row r="32" spans="1:10" ht="12.75">
      <c r="A32" t="s">
        <v>26</v>
      </c>
      <c r="B32">
        <v>2.14</v>
      </c>
      <c r="C32" s="5">
        <f>B32*1.052</f>
        <v>2.2512800000000004</v>
      </c>
      <c r="D32" s="8">
        <v>1</v>
      </c>
      <c r="E32" s="5"/>
      <c r="F32" s="5"/>
      <c r="G32" s="5">
        <f>C32*D32</f>
        <v>2.2512800000000004</v>
      </c>
      <c r="H32" s="5"/>
      <c r="I32" s="5"/>
      <c r="J32" s="5"/>
    </row>
    <row r="33" spans="1:10" ht="12.75">
      <c r="A33" t="s">
        <v>27</v>
      </c>
      <c r="B33">
        <v>1.98</v>
      </c>
      <c r="C33" s="5">
        <f aca="true" t="shared" si="1" ref="C33:C39">B33*1.052</f>
        <v>2.08296</v>
      </c>
      <c r="D33" s="8">
        <v>1</v>
      </c>
      <c r="E33" s="5">
        <f>C33*D33</f>
        <v>2.08296</v>
      </c>
      <c r="F33" s="5">
        <f>E33*0.8</f>
        <v>1.666368</v>
      </c>
      <c r="G33" s="5"/>
      <c r="H33" s="5"/>
      <c r="I33" s="5"/>
      <c r="J33" s="5"/>
    </row>
    <row r="34" spans="1:10" ht="12.75">
      <c r="A34" t="s">
        <v>28</v>
      </c>
      <c r="B34">
        <v>11.56</v>
      </c>
      <c r="C34" s="5">
        <f t="shared" si="1"/>
        <v>12.16112</v>
      </c>
      <c r="D34" s="8">
        <v>1</v>
      </c>
      <c r="E34" s="5">
        <f>C34*D34</f>
        <v>12.16112</v>
      </c>
      <c r="F34" s="5">
        <f>E34*0.8</f>
        <v>9.728896</v>
      </c>
      <c r="G34" s="5"/>
      <c r="H34" s="5"/>
      <c r="I34" s="5"/>
      <c r="J34" s="5"/>
    </row>
    <row r="35" spans="1:10" ht="12.75">
      <c r="A35" t="s">
        <v>22</v>
      </c>
      <c r="B35">
        <v>3.06</v>
      </c>
      <c r="C35" s="5">
        <f t="shared" si="1"/>
        <v>3.21912</v>
      </c>
      <c r="D35" s="8">
        <v>1</v>
      </c>
      <c r="E35" s="5"/>
      <c r="F35" s="5"/>
      <c r="G35" s="5">
        <f>C35*D35</f>
        <v>3.21912</v>
      </c>
      <c r="H35" s="5"/>
      <c r="I35" s="5"/>
      <c r="J35" s="5"/>
    </row>
    <row r="36" spans="1:10" ht="12.75">
      <c r="A36" t="s">
        <v>29</v>
      </c>
      <c r="B36">
        <v>0.48</v>
      </c>
      <c r="C36" s="5">
        <f t="shared" si="1"/>
        <v>0.50496</v>
      </c>
      <c r="D36" s="8">
        <v>1</v>
      </c>
      <c r="E36" s="5"/>
      <c r="F36" s="5"/>
      <c r="G36" s="5">
        <f>C36*D36</f>
        <v>0.50496</v>
      </c>
      <c r="H36" s="5"/>
      <c r="I36" s="5"/>
      <c r="J36" s="5"/>
    </row>
    <row r="37" spans="1:10" ht="12.75">
      <c r="A37" t="s">
        <v>30</v>
      </c>
      <c r="B37">
        <v>0.63</v>
      </c>
      <c r="C37" s="5">
        <f t="shared" si="1"/>
        <v>0.66276</v>
      </c>
      <c r="D37" s="8">
        <v>1</v>
      </c>
      <c r="E37" s="5"/>
      <c r="F37" s="5"/>
      <c r="G37" s="5">
        <f>C37*D37</f>
        <v>0.66276</v>
      </c>
      <c r="H37" s="5"/>
      <c r="I37" s="5"/>
      <c r="J37" s="5"/>
    </row>
    <row r="38" spans="1:10" ht="12.75">
      <c r="A38" t="s">
        <v>24</v>
      </c>
      <c r="B38">
        <v>1.17</v>
      </c>
      <c r="C38" s="5">
        <f t="shared" si="1"/>
        <v>1.23084</v>
      </c>
      <c r="D38" s="8">
        <v>1</v>
      </c>
      <c r="E38" s="5"/>
      <c r="F38" s="5"/>
      <c r="G38" s="5"/>
      <c r="H38" s="5">
        <f>C38*D38</f>
        <v>1.23084</v>
      </c>
      <c r="J38" s="5"/>
    </row>
    <row r="39" spans="1:10" ht="12.75">
      <c r="A39" s="2" t="s">
        <v>9</v>
      </c>
      <c r="B39" s="2">
        <f>SUM(B32:B38)</f>
        <v>21.019999999999996</v>
      </c>
      <c r="C39" s="6">
        <f t="shared" si="1"/>
        <v>22.113039999999998</v>
      </c>
      <c r="D39" s="9"/>
      <c r="E39" s="5"/>
      <c r="F39" s="5"/>
      <c r="G39" s="5"/>
      <c r="H39" s="5"/>
      <c r="I39" s="5"/>
      <c r="J39" s="5"/>
    </row>
    <row r="40" spans="3:10" ht="12.75">
      <c r="C40" s="5"/>
      <c r="E40" s="5"/>
      <c r="F40" s="5"/>
      <c r="G40" s="5"/>
      <c r="H40" s="5"/>
      <c r="I40" s="5"/>
      <c r="J40" s="5"/>
    </row>
    <row r="41" spans="1:10" ht="12.75">
      <c r="A41" s="2" t="s">
        <v>36</v>
      </c>
      <c r="B41" s="2">
        <f>B10+B17+B29+B39</f>
        <v>150.93</v>
      </c>
      <c r="C41" s="6">
        <f>C10+C17+C29+C39</f>
        <v>160.61064</v>
      </c>
      <c r="D41" s="9"/>
      <c r="E41" s="5"/>
      <c r="F41" s="5"/>
      <c r="G41" s="5"/>
      <c r="H41" s="5"/>
      <c r="I41" s="5"/>
      <c r="J41" s="5"/>
    </row>
    <row r="42" spans="3:10" ht="12.75">
      <c r="C42" s="5"/>
      <c r="E42" s="5"/>
      <c r="F42" s="5"/>
      <c r="G42" s="5"/>
      <c r="H42" s="5"/>
      <c r="I42" s="5"/>
      <c r="J42" s="5"/>
    </row>
    <row r="43" spans="1:10" ht="12.75">
      <c r="A43" t="s">
        <v>162</v>
      </c>
      <c r="C43" s="5"/>
      <c r="E43" s="5"/>
      <c r="F43" s="5">
        <f>SUM(F6:F38)</f>
        <v>44.800701399999994</v>
      </c>
      <c r="G43" s="5">
        <f>SUM(G6:G38)</f>
        <v>23.964992000000002</v>
      </c>
      <c r="H43" s="5">
        <f>SUM(H6:H38)</f>
        <v>15.212190000000001</v>
      </c>
      <c r="I43" s="5">
        <f>SUM(I6:I38)</f>
        <v>5.464382</v>
      </c>
      <c r="J43" s="5">
        <f>SUM(J6:J38)</f>
        <v>54.089999999999996</v>
      </c>
    </row>
    <row r="44" spans="1:10" ht="12.75">
      <c r="A44" t="s">
        <v>51</v>
      </c>
      <c r="C44" s="5"/>
      <c r="E44" s="5"/>
      <c r="F44" s="5">
        <v>0.7</v>
      </c>
      <c r="G44" s="5">
        <v>0.7</v>
      </c>
      <c r="H44" s="5">
        <v>0.7</v>
      </c>
      <c r="I44" s="5">
        <v>0.7</v>
      </c>
      <c r="J44" s="5">
        <v>0.7</v>
      </c>
    </row>
    <row r="45" spans="1:10" ht="12.75">
      <c r="A45" t="s">
        <v>31</v>
      </c>
      <c r="C45" s="5"/>
      <c r="E45" s="5"/>
      <c r="F45" s="5">
        <f>F43*F44</f>
        <v>31.360490979999994</v>
      </c>
      <c r="G45" s="5"/>
      <c r="H45" s="5"/>
      <c r="I45" s="5"/>
      <c r="J45" s="5"/>
    </row>
    <row r="46" spans="1:10" ht="12.75">
      <c r="A46" t="s">
        <v>32</v>
      </c>
      <c r="C46" s="5"/>
      <c r="E46" s="5"/>
      <c r="F46" s="5"/>
      <c r="G46" s="5">
        <f>G43*G44</f>
        <v>16.7754944</v>
      </c>
      <c r="H46" s="5"/>
      <c r="I46" s="5"/>
      <c r="J46" s="5"/>
    </row>
    <row r="47" spans="1:10" ht="12.75">
      <c r="A47" t="s">
        <v>103</v>
      </c>
      <c r="C47" s="5"/>
      <c r="E47" s="5"/>
      <c r="F47" s="5"/>
      <c r="G47" s="5"/>
      <c r="H47" s="5">
        <f>H43*H44</f>
        <v>10.648533</v>
      </c>
      <c r="I47" s="5"/>
      <c r="J47" s="5"/>
    </row>
    <row r="48" spans="1:10" ht="12.75">
      <c r="A48" t="s">
        <v>102</v>
      </c>
      <c r="C48" s="5"/>
      <c r="E48" s="5"/>
      <c r="F48" s="5"/>
      <c r="G48" s="5"/>
      <c r="H48" s="5"/>
      <c r="I48" s="5">
        <f>I43*I44</f>
        <v>3.8250673999999996</v>
      </c>
      <c r="J48" s="5"/>
    </row>
    <row r="49" spans="1:12" ht="12.75">
      <c r="A49" t="s">
        <v>35</v>
      </c>
      <c r="C49" s="5"/>
      <c r="E49" s="5"/>
      <c r="F49" s="5"/>
      <c r="G49" s="5"/>
      <c r="H49" s="5"/>
      <c r="I49" s="5"/>
      <c r="J49" s="5">
        <f>J43*J44</f>
        <v>37.86299999999999</v>
      </c>
      <c r="L49" s="6">
        <f>F45+G46+H47+I48+J49</f>
        <v>100.47258577999999</v>
      </c>
    </row>
    <row r="50" spans="1:10" s="2" customFormat="1" ht="12.75">
      <c r="A50" s="2" t="s">
        <v>165</v>
      </c>
      <c r="D50" s="9"/>
      <c r="F50" s="24">
        <f>F45*11.63</f>
        <v>364.72251009739995</v>
      </c>
      <c r="G50" s="24">
        <f>G46*11.63</f>
        <v>195.098999872</v>
      </c>
      <c r="H50" s="24">
        <f>H47*11.63</f>
        <v>123.84243879000002</v>
      </c>
      <c r="I50" s="24">
        <f>I48*11.63</f>
        <v>44.485533862</v>
      </c>
      <c r="J50" s="24">
        <f>J49*11.63</f>
        <v>440.34668999999997</v>
      </c>
    </row>
    <row r="51" spans="4:10" s="2" customFormat="1" ht="12.75">
      <c r="D51" s="9"/>
      <c r="F51" s="24"/>
      <c r="G51" s="24"/>
      <c r="H51" s="24"/>
      <c r="I51" s="24"/>
      <c r="J51" s="24"/>
    </row>
    <row r="52" spans="1:10" s="25" customFormat="1" ht="12.75">
      <c r="A52" s="25" t="s">
        <v>155</v>
      </c>
      <c r="D52" s="27">
        <v>0</v>
      </c>
      <c r="F52" s="28">
        <f>(1-$D$52)*($G$13+$G$14)*$G$44</f>
        <v>2.1498553999999994</v>
      </c>
      <c r="G52" s="28">
        <f>-(1-$D$52)*($G$13+$G$14)*$G$44</f>
        <v>-2.1498553999999994</v>
      </c>
      <c r="H52" s="26"/>
      <c r="I52" s="26"/>
      <c r="J52" s="26"/>
    </row>
    <row r="53" spans="1:10" s="25" customFormat="1" ht="12.75">
      <c r="A53" s="25" t="s">
        <v>157</v>
      </c>
      <c r="D53" s="29"/>
      <c r="F53" s="28">
        <f>(F45+F52)</f>
        <v>33.510346379999994</v>
      </c>
      <c r="G53" s="5">
        <f>G46+G52</f>
        <v>14.625639</v>
      </c>
      <c r="H53" s="26"/>
      <c r="I53" s="26"/>
      <c r="J53" s="26"/>
    </row>
    <row r="54" spans="1:10" ht="12.75">
      <c r="A54" t="s">
        <v>152</v>
      </c>
      <c r="C54" s="5"/>
      <c r="D54" s="23">
        <v>0.730144039691946</v>
      </c>
      <c r="E54" s="5"/>
      <c r="F54" s="5">
        <f>(1-$D$54)*$F$53</f>
        <v>9.042966702630421</v>
      </c>
      <c r="G54" s="5"/>
      <c r="H54" s="5">
        <f>(1-$D$54)*$F$53/0.8</f>
        <v>11.303708378288025</v>
      </c>
      <c r="I54" s="5"/>
      <c r="J54" s="5"/>
    </row>
    <row r="55" spans="1:10" ht="12.75">
      <c r="A55" t="s">
        <v>173</v>
      </c>
      <c r="C55" s="5"/>
      <c r="D55" s="33"/>
      <c r="E55" s="5"/>
      <c r="F55" s="5"/>
      <c r="G55" s="5"/>
      <c r="H55" s="5">
        <f>IF(F54&gt;(SUM(F20:F38)*F44),(F54-(SUM(F20:F38)*F44))*(1/0.65-1/0.8),0)</f>
        <v>0</v>
      </c>
      <c r="I55" s="5"/>
      <c r="J55" s="5"/>
    </row>
    <row r="56" spans="1:10" ht="12.75">
      <c r="A56" t="s">
        <v>156</v>
      </c>
      <c r="C56" s="5"/>
      <c r="E56" s="5"/>
      <c r="F56" s="5">
        <f>(F53-F54)/0.87</f>
        <v>28.12342491651675</v>
      </c>
      <c r="G56" s="5"/>
      <c r="H56" s="5">
        <f>H47+H54+H55</f>
        <v>21.952241378288026</v>
      </c>
      <c r="I56" s="5"/>
      <c r="J56" s="5"/>
    </row>
    <row r="57" spans="4:10" s="2" customFormat="1" ht="12.75">
      <c r="D57" s="9"/>
      <c r="F57" s="24"/>
      <c r="G57" s="24"/>
      <c r="H57" s="24"/>
      <c r="I57" s="24"/>
      <c r="J57" s="24"/>
    </row>
    <row r="58" spans="1:13" ht="12.75">
      <c r="A58" t="s">
        <v>106</v>
      </c>
      <c r="C58" s="5"/>
      <c r="E58" s="5"/>
      <c r="F58" s="10">
        <v>0</v>
      </c>
      <c r="H58" s="5"/>
      <c r="I58" s="5"/>
      <c r="J58" s="5"/>
      <c r="K58" s="3"/>
      <c r="L58" s="3"/>
      <c r="M58" s="3"/>
    </row>
    <row r="59" spans="1:13" ht="12.75">
      <c r="A59" t="s">
        <v>153</v>
      </c>
      <c r="C59" s="5"/>
      <c r="E59" s="5"/>
      <c r="F59" s="11"/>
      <c r="G59" s="5">
        <f>F58</f>
        <v>0</v>
      </c>
      <c r="H59" s="5"/>
      <c r="I59" s="5"/>
      <c r="J59" s="5"/>
      <c r="K59" s="3"/>
      <c r="L59" s="3"/>
      <c r="M59" s="3"/>
    </row>
    <row r="60" spans="1:13" ht="12.75">
      <c r="A60" t="s">
        <v>58</v>
      </c>
      <c r="C60" s="5"/>
      <c r="E60" s="5"/>
      <c r="F60" s="5"/>
      <c r="H60" s="5"/>
      <c r="I60" s="10">
        <v>1.85520564119357E-08</v>
      </c>
      <c r="J60" s="5"/>
      <c r="K60" s="3"/>
      <c r="L60" s="3"/>
      <c r="M60" s="3"/>
    </row>
    <row r="61" spans="1:13" ht="12.75">
      <c r="A61" t="s">
        <v>57</v>
      </c>
      <c r="C61" s="5"/>
      <c r="E61" s="5"/>
      <c r="F61" s="5"/>
      <c r="G61" s="5">
        <f>I60</f>
        <v>1.85520564119357E-08</v>
      </c>
      <c r="H61" s="5"/>
      <c r="I61" s="11"/>
      <c r="J61" s="5"/>
      <c r="K61" s="3"/>
      <c r="L61" s="3"/>
      <c r="M61" s="3"/>
    </row>
    <row r="62" spans="1:13" ht="12.75">
      <c r="A62" t="s">
        <v>105</v>
      </c>
      <c r="C62" s="5"/>
      <c r="E62" s="5"/>
      <c r="F62" s="5">
        <f>(F56-F58)*0.1</f>
        <v>2.812342491651675</v>
      </c>
      <c r="G62" s="5"/>
      <c r="H62" s="5"/>
      <c r="I62" s="5"/>
      <c r="J62" s="5"/>
      <c r="K62" s="3"/>
      <c r="L62" s="3"/>
      <c r="M62" s="4"/>
    </row>
    <row r="63" spans="1:13" ht="12.75">
      <c r="A63" t="s">
        <v>107</v>
      </c>
      <c r="C63" s="5"/>
      <c r="E63" s="5"/>
      <c r="F63" s="5"/>
      <c r="G63" s="5"/>
      <c r="H63" s="5">
        <f>F62/0.8</f>
        <v>3.515428114564594</v>
      </c>
      <c r="I63" s="5"/>
      <c r="J63" s="5"/>
      <c r="K63" s="3"/>
      <c r="L63" s="3"/>
      <c r="M63" s="3"/>
    </row>
    <row r="64" spans="1:13" ht="12.75">
      <c r="A64" t="s">
        <v>104</v>
      </c>
      <c r="C64" s="5"/>
      <c r="E64" s="5"/>
      <c r="F64" s="5">
        <f>F56-F58-F62-F80</f>
        <v>12.910213214745799</v>
      </c>
      <c r="G64" s="5"/>
      <c r="H64" s="5"/>
      <c r="I64" s="5"/>
      <c r="J64" s="5"/>
      <c r="K64" s="3"/>
      <c r="L64" s="3"/>
      <c r="M64" s="3"/>
    </row>
    <row r="65" spans="1:13" ht="12.75">
      <c r="A65" t="s">
        <v>172</v>
      </c>
      <c r="C65" s="5"/>
      <c r="E65" s="5"/>
      <c r="F65" s="5"/>
      <c r="G65" s="5"/>
      <c r="H65" s="5">
        <f>F64/4.179</f>
        <v>3.0893068233418997</v>
      </c>
      <c r="I65" s="5"/>
      <c r="J65" s="5"/>
      <c r="K65" s="3"/>
      <c r="L65" s="3"/>
      <c r="M65" s="3"/>
    </row>
    <row r="66" spans="1:13" ht="12.75">
      <c r="A66" t="s">
        <v>112</v>
      </c>
      <c r="C66" s="5"/>
      <c r="E66" s="5"/>
      <c r="F66" s="5"/>
      <c r="G66" s="5">
        <f>F64*1.976*0.926</f>
        <v>23.62279829522471</v>
      </c>
      <c r="H66" s="5"/>
      <c r="I66" s="5"/>
      <c r="J66" s="5"/>
      <c r="K66" s="3"/>
      <c r="L66" s="3"/>
      <c r="M66" s="3"/>
    </row>
    <row r="67" spans="1:13" ht="12.75">
      <c r="A67" t="s">
        <v>113</v>
      </c>
      <c r="C67" s="5"/>
      <c r="E67" s="5"/>
      <c r="F67" s="5"/>
      <c r="G67" s="5"/>
      <c r="H67" s="5">
        <f>G66/0.514/0.926</f>
        <v>49.63148115240797</v>
      </c>
      <c r="I67" s="5"/>
      <c r="J67" s="5"/>
      <c r="K67" s="3"/>
      <c r="L67" s="3"/>
      <c r="M67" s="3"/>
    </row>
    <row r="68" spans="1:13" ht="12.75">
      <c r="A68" t="s">
        <v>108</v>
      </c>
      <c r="C68" s="5"/>
      <c r="E68" s="5"/>
      <c r="F68" s="5"/>
      <c r="G68" s="5"/>
      <c r="H68" s="5">
        <f>H56+H63+H65+H67</f>
        <v>78.1884574686025</v>
      </c>
      <c r="I68" s="5"/>
      <c r="J68" s="5"/>
      <c r="K68" s="3"/>
      <c r="L68" s="3"/>
      <c r="M68" s="3"/>
    </row>
    <row r="69" spans="1:13" ht="12.75">
      <c r="A69" t="s">
        <v>137</v>
      </c>
      <c r="C69" s="5"/>
      <c r="E69" s="5"/>
      <c r="F69" s="5"/>
      <c r="G69" s="5"/>
      <c r="I69" s="18">
        <v>3.82506738144794</v>
      </c>
      <c r="J69" s="5"/>
      <c r="K69" s="4"/>
      <c r="L69" s="11"/>
      <c r="M69" s="5"/>
    </row>
    <row r="70" spans="1:13" ht="12.75">
      <c r="A70" t="s">
        <v>154</v>
      </c>
      <c r="C70" s="5"/>
      <c r="E70" s="5"/>
      <c r="F70" s="5"/>
      <c r="G70" s="5"/>
      <c r="H70" s="10">
        <v>0</v>
      </c>
      <c r="I70" s="5"/>
      <c r="J70" s="5"/>
      <c r="K70" s="4">
        <v>0.918</v>
      </c>
      <c r="L70" s="7">
        <f>H70*K70</f>
        <v>0</v>
      </c>
      <c r="M70" s="5"/>
    </row>
    <row r="71" spans="1:13" ht="12.75">
      <c r="A71" t="s">
        <v>37</v>
      </c>
      <c r="C71" s="5"/>
      <c r="E71" s="5"/>
      <c r="F71" s="5"/>
      <c r="G71" s="5"/>
      <c r="H71" s="5"/>
      <c r="I71" s="5"/>
      <c r="J71" s="5">
        <f>(J6+J8+J9)*J44</f>
        <v>8.847999999999999</v>
      </c>
      <c r="K71" s="3"/>
      <c r="L71" s="5"/>
      <c r="M71" s="5"/>
    </row>
    <row r="72" spans="1:13" ht="12.75">
      <c r="A72" t="s">
        <v>38</v>
      </c>
      <c r="C72" s="5"/>
      <c r="E72" s="5"/>
      <c r="F72" s="5"/>
      <c r="G72" s="5"/>
      <c r="H72" s="5"/>
      <c r="I72" s="5"/>
      <c r="J72" s="5">
        <f>J49-J71</f>
        <v>29.014999999999993</v>
      </c>
      <c r="K72" s="3"/>
      <c r="L72" s="5"/>
      <c r="M72" s="5"/>
    </row>
    <row r="73" spans="1:13" ht="12.75">
      <c r="A73" t="s">
        <v>39</v>
      </c>
      <c r="C73" s="5"/>
      <c r="E73" s="5"/>
      <c r="F73" s="5"/>
      <c r="G73" s="5"/>
      <c r="H73" s="5"/>
      <c r="I73" s="5"/>
      <c r="J73" s="5">
        <f>J72*0.1</f>
        <v>2.9014999999999995</v>
      </c>
      <c r="K73" s="3"/>
      <c r="L73" s="5"/>
      <c r="M73" s="5"/>
    </row>
    <row r="74" spans="1:13" ht="12.75">
      <c r="A74" t="s">
        <v>164</v>
      </c>
      <c r="C74" s="5"/>
      <c r="E74" s="5"/>
      <c r="F74" s="5"/>
      <c r="G74" s="5"/>
      <c r="H74" s="5"/>
      <c r="I74" s="5"/>
      <c r="J74" s="5">
        <f>J72-J73</f>
        <v>26.113499999999995</v>
      </c>
      <c r="K74" s="3"/>
      <c r="L74" s="5"/>
      <c r="M74" s="5"/>
    </row>
    <row r="75" spans="1:13" ht="12.75">
      <c r="A75" t="s">
        <v>61</v>
      </c>
      <c r="C75" s="5"/>
      <c r="E75" s="5"/>
      <c r="F75" s="5"/>
      <c r="G75" s="5"/>
      <c r="H75" s="5">
        <f>J75*0.394</f>
        <v>3.4051371200000005</v>
      </c>
      <c r="J75" s="10">
        <v>8.64248</v>
      </c>
      <c r="K75" s="3"/>
      <c r="L75" s="5"/>
      <c r="M75" s="5"/>
    </row>
    <row r="76" spans="1:13" ht="12.75">
      <c r="A76" t="s">
        <v>111</v>
      </c>
      <c r="C76" s="5"/>
      <c r="E76" s="5"/>
      <c r="F76" s="5"/>
      <c r="G76" s="5"/>
      <c r="I76" s="5"/>
      <c r="J76" s="31">
        <v>16.0127804409549</v>
      </c>
      <c r="K76" s="3"/>
      <c r="L76" s="5"/>
      <c r="M76" s="5"/>
    </row>
    <row r="77" spans="1:13" ht="12.75">
      <c r="A77" t="s">
        <v>54</v>
      </c>
      <c r="C77" s="5"/>
      <c r="E77" s="5"/>
      <c r="F77" s="5"/>
      <c r="G77" s="5"/>
      <c r="H77" s="5"/>
      <c r="J77" s="10">
        <v>1.45823955904507</v>
      </c>
      <c r="K77" s="3"/>
      <c r="L77" s="5"/>
      <c r="M77" s="5"/>
    </row>
    <row r="78" spans="1:13" ht="12.75">
      <c r="A78" t="s">
        <v>109</v>
      </c>
      <c r="C78" s="5"/>
      <c r="E78" s="5"/>
      <c r="F78" s="5"/>
      <c r="G78" s="5"/>
      <c r="H78" s="5"/>
      <c r="I78" s="5"/>
      <c r="J78" s="5"/>
      <c r="K78" s="3"/>
      <c r="L78" s="5">
        <f>(L70+L88)*0.9</f>
        <v>42.15417689123858</v>
      </c>
      <c r="M78" s="5"/>
    </row>
    <row r="79" spans="1:13" ht="12.75">
      <c r="A79" t="s">
        <v>110</v>
      </c>
      <c r="C79" s="5"/>
      <c r="E79" s="5"/>
      <c r="F79" s="5"/>
      <c r="G79" s="5"/>
      <c r="H79" s="5"/>
      <c r="I79" s="5"/>
      <c r="J79" s="5"/>
      <c r="K79" s="3"/>
      <c r="L79" s="5">
        <f>J77*0.733</f>
        <v>1.0688895967800363</v>
      </c>
      <c r="M79" s="5"/>
    </row>
    <row r="80" spans="1:13" ht="12.75">
      <c r="A80" t="s">
        <v>163</v>
      </c>
      <c r="C80" s="5"/>
      <c r="E80" s="5"/>
      <c r="F80" s="5">
        <f>(G80+H80-J77)*0.8</f>
        <v>12.400869210119279</v>
      </c>
      <c r="G80" s="5">
        <f>J77*11.63</f>
        <v>16.959326071694168</v>
      </c>
      <c r="H80" s="5">
        <f>J77*0</f>
        <v>0</v>
      </c>
      <c r="I80" s="5"/>
      <c r="J80" s="5"/>
      <c r="K80" s="3"/>
      <c r="L80" s="5"/>
      <c r="M80" s="5"/>
    </row>
    <row r="81" spans="1:13" ht="12.75">
      <c r="A81" t="s">
        <v>40</v>
      </c>
      <c r="C81" s="5"/>
      <c r="E81" s="5"/>
      <c r="F81" s="5"/>
      <c r="G81" s="5">
        <f>G66-(G53+G59+G61+G80)</f>
        <v>-7.96216679502151</v>
      </c>
      <c r="H81" s="5"/>
      <c r="I81" s="5"/>
      <c r="J81" s="5"/>
      <c r="K81" s="3"/>
      <c r="L81" s="5"/>
      <c r="M81" s="5"/>
    </row>
    <row r="82" spans="1:13" ht="12.75">
      <c r="A82" t="s">
        <v>50</v>
      </c>
      <c r="C82" s="5"/>
      <c r="E82" s="5"/>
      <c r="F82" s="5"/>
      <c r="G82" s="5">
        <f>-G81/0.926</f>
        <v>8.598452262442235</v>
      </c>
      <c r="H82" s="5"/>
      <c r="I82" s="5"/>
      <c r="J82" s="5"/>
      <c r="K82" s="3"/>
      <c r="L82" s="5"/>
      <c r="M82" s="5"/>
    </row>
    <row r="83" spans="1:13" ht="12.75">
      <c r="A83" t="s">
        <v>169</v>
      </c>
      <c r="C83" s="5"/>
      <c r="E83" s="5"/>
      <c r="F83" s="5"/>
      <c r="G83" s="5"/>
      <c r="H83" s="5"/>
      <c r="I83" s="5"/>
      <c r="J83" s="8">
        <f>J71+J73</f>
        <v>11.749499999999998</v>
      </c>
      <c r="K83" s="3"/>
      <c r="L83" s="5"/>
      <c r="M83" s="5"/>
    </row>
    <row r="84" spans="1:13" ht="12.75">
      <c r="A84" t="s">
        <v>170</v>
      </c>
      <c r="C84" s="5"/>
      <c r="E84" s="5"/>
      <c r="F84" s="5"/>
      <c r="G84" s="5"/>
      <c r="H84" s="5"/>
      <c r="I84" s="8">
        <f>I48-I60-I69</f>
        <v>0</v>
      </c>
      <c r="J84" s="8">
        <f>I84</f>
        <v>0</v>
      </c>
      <c r="K84" s="3"/>
      <c r="L84" s="5"/>
      <c r="M84" s="5"/>
    </row>
    <row r="85" spans="1:13" ht="12.75">
      <c r="A85" t="s">
        <v>166</v>
      </c>
      <c r="C85" s="5"/>
      <c r="E85" s="5"/>
      <c r="F85" s="5"/>
      <c r="G85" s="5"/>
      <c r="H85" s="5"/>
      <c r="I85" s="8"/>
      <c r="J85" s="32">
        <v>0</v>
      </c>
      <c r="K85" s="3"/>
      <c r="L85" s="5"/>
      <c r="M85" s="5"/>
    </row>
    <row r="86" spans="1:13" ht="12.75">
      <c r="A86" t="s">
        <v>167</v>
      </c>
      <c r="C86" s="5"/>
      <c r="E86" s="5"/>
      <c r="F86" s="5"/>
      <c r="G86" s="5"/>
      <c r="H86" s="5"/>
      <c r="I86" s="8"/>
      <c r="J86" s="33">
        <f>(J83+J84+J85)/0.9</f>
        <v>13.054999999999996</v>
      </c>
      <c r="K86" s="3">
        <v>0.855</v>
      </c>
      <c r="L86" s="5">
        <f>J86*K86</f>
        <v>11.162024999999996</v>
      </c>
      <c r="M86" s="5"/>
    </row>
    <row r="87" spans="1:13" ht="12.75">
      <c r="A87" t="s">
        <v>168</v>
      </c>
      <c r="C87" s="5"/>
      <c r="E87" s="5"/>
      <c r="F87" s="5"/>
      <c r="G87" s="5"/>
      <c r="H87" s="5"/>
      <c r="I87" s="8"/>
      <c r="J87" s="8">
        <f>J74-J75-J76-J77</f>
        <v>2.708944180085382E-14</v>
      </c>
      <c r="K87" s="3"/>
      <c r="L87" s="5"/>
      <c r="M87" s="5"/>
    </row>
    <row r="88" spans="1:13" ht="12.75">
      <c r="A88" t="s">
        <v>171</v>
      </c>
      <c r="C88" s="5"/>
      <c r="E88" s="5"/>
      <c r="F88" s="5"/>
      <c r="G88" s="5"/>
      <c r="H88" s="5">
        <f>(H68-H70-H75+H80)/0.95+J87</f>
        <v>78.71928457747633</v>
      </c>
      <c r="I88" s="5"/>
      <c r="J88" s="5"/>
      <c r="K88" s="3">
        <f>0.595</f>
        <v>0.595</v>
      </c>
      <c r="L88" s="5">
        <f>H88*K88</f>
        <v>46.83797432359842</v>
      </c>
      <c r="M88" s="5"/>
    </row>
    <row r="89" spans="1:13" ht="12.75">
      <c r="A89" t="s">
        <v>47</v>
      </c>
      <c r="C89" s="5"/>
      <c r="E89" s="5"/>
      <c r="F89" s="5"/>
      <c r="G89" s="5"/>
      <c r="H89" s="5"/>
      <c r="I89" s="5"/>
      <c r="J89" s="5"/>
      <c r="K89" s="3"/>
      <c r="L89" s="11">
        <v>4</v>
      </c>
      <c r="M89" s="5"/>
    </row>
    <row r="90" spans="3:13" ht="12.75">
      <c r="C90" s="5"/>
      <c r="E90" s="5"/>
      <c r="F90" s="5"/>
      <c r="G90" s="5"/>
      <c r="H90" s="5"/>
      <c r="I90" s="5"/>
      <c r="J90" s="5"/>
      <c r="K90" s="3"/>
      <c r="L90" s="11"/>
      <c r="M90" s="5"/>
    </row>
    <row r="91" spans="1:12" ht="12.75">
      <c r="A91" t="s">
        <v>60</v>
      </c>
      <c r="L91">
        <v>62</v>
      </c>
    </row>
    <row r="92" spans="1:13" ht="12.75">
      <c r="A92" t="s">
        <v>44</v>
      </c>
      <c r="C92" s="5"/>
      <c r="E92" s="5"/>
      <c r="F92" s="5"/>
      <c r="G92" s="5"/>
      <c r="H92" s="5"/>
      <c r="I92" s="5"/>
      <c r="J92" s="5"/>
      <c r="K92" s="3"/>
      <c r="L92" s="18">
        <f>L86+L88+L89</f>
        <v>61.999999323598416</v>
      </c>
      <c r="M92" s="5"/>
    </row>
    <row r="93" spans="1:12" ht="12.75">
      <c r="A93" t="s">
        <v>134</v>
      </c>
      <c r="H93" s="19">
        <f>H88/95.1</f>
        <v>0.8277527295213074</v>
      </c>
      <c r="I93" s="8">
        <f>H88</f>
        <v>78.71928457747633</v>
      </c>
      <c r="L93" s="3"/>
    </row>
    <row r="94" spans="1:12" ht="12.75">
      <c r="A94" t="s">
        <v>135</v>
      </c>
      <c r="J94" s="4">
        <f>J86/76.5</f>
        <v>0.17065359477124178</v>
      </c>
      <c r="K94" s="8">
        <f>J86</f>
        <v>13.054999999999996</v>
      </c>
      <c r="L94" s="3"/>
    </row>
    <row r="95" spans="1:12" ht="12.75">
      <c r="A95" t="s">
        <v>59</v>
      </c>
      <c r="E95" s="19">
        <f>(H70/5.3+J75/1.771)/24.4</f>
        <v>0.20000000000000004</v>
      </c>
      <c r="F95" s="8">
        <f>E95*24.4</f>
        <v>4.880000000000001</v>
      </c>
      <c r="L95" s="3"/>
    </row>
    <row r="96" spans="1:12" ht="12.75">
      <c r="A96" t="s">
        <v>55</v>
      </c>
      <c r="G96" s="18">
        <f>G66*11.63/8.76/0.5</f>
        <v>62.72446214006014</v>
      </c>
      <c r="L96" s="5"/>
    </row>
    <row r="97" spans="1:12" ht="12.75">
      <c r="A97" t="s">
        <v>52</v>
      </c>
      <c r="G97" s="18">
        <f>G82*11.63</f>
        <v>99.9999998122032</v>
      </c>
      <c r="H97" s="8">
        <f>G97/11.63</f>
        <v>8.598452262442235</v>
      </c>
      <c r="L97" s="5"/>
    </row>
    <row r="98" spans="1:12" ht="12.75">
      <c r="A98" t="s">
        <v>56</v>
      </c>
      <c r="G98" s="5">
        <f>G82*11.63/8.76/0.38</f>
        <v>30.040855507150685</v>
      </c>
      <c r="L98" s="5"/>
    </row>
    <row r="99" spans="1:12" ht="12.75">
      <c r="A99" t="s">
        <v>158</v>
      </c>
      <c r="L99" s="28">
        <f>H97+I93+K94+J76+J75+H75+H70+I69</f>
        <v>132.2582017823214</v>
      </c>
    </row>
    <row r="100" spans="1:12" ht="12.75">
      <c r="A100" t="s">
        <v>159</v>
      </c>
      <c r="L100" s="30">
        <f>L49/L99</f>
        <v>0.7596699820958089</v>
      </c>
    </row>
    <row r="101" spans="1:12" ht="12.75">
      <c r="A101" t="s">
        <v>160</v>
      </c>
      <c r="L101" s="28">
        <f>H97+J76+J75+H75+H70+I69</f>
        <v>40.48391720484507</v>
      </c>
    </row>
    <row r="102" spans="1:12" ht="12.75">
      <c r="A102" t="s">
        <v>161</v>
      </c>
      <c r="L102" s="30">
        <f>L101/L99</f>
        <v>0.3060975928848327</v>
      </c>
    </row>
  </sheetData>
  <printOptions/>
  <pageMargins left="0.63" right="0.41" top="0.4" bottom="0.4" header="0.39" footer="0.41"/>
  <pageSetup horizontalDpi="600" verticalDpi="600" orientation="portrait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2" sqref="F12"/>
    </sheetView>
  </sheetViews>
  <sheetFormatPr defaultColWidth="9.140625" defaultRowHeight="12.75"/>
  <cols>
    <col min="1" max="1" width="14.851562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Taylor</dc:creator>
  <cp:keywords/>
  <dc:description/>
  <cp:lastModifiedBy>Gordon Taylor</cp:lastModifiedBy>
  <cp:lastPrinted>2003-11-17T16:21:46Z</cp:lastPrinted>
  <dcterms:created xsi:type="dcterms:W3CDTF">2002-07-26T18:26:02Z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